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200" windowHeight="17775" activeTab="6"/>
  </bookViews>
  <sheets>
    <sheet name="触媒" sheetId="11" r:id="rId1"/>
    <sheet name="箭" sheetId="10" r:id="rId2"/>
    <sheet name="远程" sheetId="12" r:id="rId3"/>
    <sheet name="近战" sheetId="9" r:id="rId4"/>
    <sheet name="盾牌" sheetId="13" r:id="rId5"/>
    <sheet name="防具" sheetId="1" r:id="rId6"/>
    <sheet name="套装" sheetId="15" r:id="rId7"/>
    <sheet name="戒指" sheetId="8" r:id="rId8"/>
  </sheets>
  <definedNames>
    <definedName name="_xlnm._FilterDatabase" localSheetId="6" hidden="1">套装!$A$1:$R$94</definedName>
    <definedName name="_xlnm._FilterDatabase" localSheetId="5" hidden="1">防具!$A$1:$Q$10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182" name="ID_C05A40C141B54105B41B0F7BAF52A369" descr="覆眼面具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685800" y="19431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3" name="ID_B64167F386CA4047B25435DDE34EC976" descr="黑魔女面纱"/>
        <xdr:cNvPicPr>
          <a:picLocks noChangeAspect="1"/>
        </xdr:cNvPicPr>
      </xdr:nvPicPr>
      <xdr:blipFill>
        <a:blip r:embed="rId3" r:link="rId2"/>
        <a:stretch>
          <a:fillRect/>
        </a:stretch>
      </xdr:blipFill>
      <xdr:spPr>
        <a:xfrm>
          <a:off x="685800" y="19259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4" name="ID_DCC4CEF4D65C43E7B9A713321EC9A5D7" descr="黑魔女帽子"/>
        <xdr:cNvPicPr>
          <a:picLocks noChangeAspect="1"/>
        </xdr:cNvPicPr>
      </xdr:nvPicPr>
      <xdr:blipFill>
        <a:blip r:embed="rId4" r:link="rId2"/>
        <a:stretch>
          <a:fillRect/>
        </a:stretch>
      </xdr:blipFill>
      <xdr:spPr>
        <a:xfrm>
          <a:off x="685800" y="19088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5" name="ID_B811DB2A15F744D5BB7F78ED331971D6" descr="沙之咒术师风帽"/>
        <xdr:cNvPicPr>
          <a:picLocks noChangeAspect="1"/>
        </xdr:cNvPicPr>
      </xdr:nvPicPr>
      <xdr:blipFill>
        <a:blip r:embed="rId5" r:link="rId2"/>
        <a:stretch>
          <a:fillRect/>
        </a:stretch>
      </xdr:blipFill>
      <xdr:spPr>
        <a:xfrm>
          <a:off x="685800" y="18783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6" name="ID_B05463C04ADC4F7DB7A57F7FA5AB97A8" descr="虚空头盔"/>
        <xdr:cNvPicPr>
          <a:picLocks noChangeAspect="1"/>
        </xdr:cNvPicPr>
      </xdr:nvPicPr>
      <xdr:blipFill>
        <a:blip r:embed="rId6" r:link="rId2"/>
        <a:stretch>
          <a:fillRect/>
        </a:stretch>
      </xdr:blipFill>
      <xdr:spPr>
        <a:xfrm>
          <a:off x="685800" y="18611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7" name="ID_F74AA9AC40EE451E9D0ED5BD20B00238" descr="说客白色头部"/>
        <xdr:cNvPicPr>
          <a:picLocks noChangeAspect="1"/>
        </xdr:cNvPicPr>
      </xdr:nvPicPr>
      <xdr:blipFill>
        <a:blip r:embed="rId7" r:link="rId2"/>
        <a:stretch>
          <a:fillRect/>
        </a:stretch>
      </xdr:blipFill>
      <xdr:spPr>
        <a:xfrm>
          <a:off x="685800" y="18307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8" name="ID_8C9E7E9F90FA4A63A5BD39BCDEE85195" descr="镕铁猎龙头盔"/>
        <xdr:cNvPicPr>
          <a:picLocks noChangeAspect="1"/>
        </xdr:cNvPicPr>
      </xdr:nvPicPr>
      <xdr:blipFill>
        <a:blip r:embed="rId8" r:link="rId2"/>
        <a:stretch>
          <a:fillRect/>
        </a:stretch>
      </xdr:blipFill>
      <xdr:spPr>
        <a:xfrm>
          <a:off x="685800" y="18002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9" name="ID_7BBE8044E1564FD99BEE3C80CE470F64" descr="环印骑士风帽"/>
        <xdr:cNvPicPr>
          <a:picLocks noChangeAspect="1"/>
        </xdr:cNvPicPr>
      </xdr:nvPicPr>
      <xdr:blipFill>
        <a:blip r:embed="rId9" r:link="rId2"/>
        <a:stretch>
          <a:fillRect/>
        </a:stretch>
      </xdr:blipFill>
      <xdr:spPr>
        <a:xfrm>
          <a:off x="685800" y="1769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0" name="ID_CE1B85348D9245069450D6951340A884" descr="拉普头盔"/>
        <xdr:cNvPicPr>
          <a:picLocks noChangeAspect="1"/>
        </xdr:cNvPicPr>
      </xdr:nvPicPr>
      <xdr:blipFill>
        <a:blip r:embed="rId10" r:link="rId2"/>
        <a:stretch>
          <a:fillRect/>
        </a:stretch>
      </xdr:blipFill>
      <xdr:spPr>
        <a:xfrm>
          <a:off x="685800" y="17526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1" name="ID_73B6A87330E143CD8EEAF16CF8F538EE" descr="希拉头冠"/>
        <xdr:cNvPicPr>
          <a:picLocks noChangeAspect="1"/>
        </xdr:cNvPicPr>
      </xdr:nvPicPr>
      <xdr:blipFill>
        <a:blip r:embed="rId11" r:link="rId2"/>
        <a:stretch>
          <a:fillRect/>
        </a:stretch>
      </xdr:blipFill>
      <xdr:spPr>
        <a:xfrm>
          <a:off x="685800" y="17354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2" name="ID_6DE69CD6878043468251EC16A4BBD7F6" descr="米尔伍德头盔"/>
        <xdr:cNvPicPr>
          <a:picLocks noChangeAspect="1"/>
        </xdr:cNvPicPr>
      </xdr:nvPicPr>
      <xdr:blipFill>
        <a:blip r:embed="rId12" r:link="rId2"/>
        <a:stretch>
          <a:fillRect/>
        </a:stretch>
      </xdr:blipFill>
      <xdr:spPr>
        <a:xfrm>
          <a:off x="685800" y="17049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3" name="ID_FCE29A96E0414E17A585972A9C9E61B1" descr="幽魂头盔"/>
        <xdr:cNvPicPr>
          <a:picLocks noChangeAspect="1"/>
        </xdr:cNvPicPr>
      </xdr:nvPicPr>
      <xdr:blipFill>
        <a:blip r:embed="rId13" r:link="rId2"/>
        <a:stretch>
          <a:fillRect/>
        </a:stretch>
      </xdr:blipFill>
      <xdr:spPr>
        <a:xfrm>
          <a:off x="685800" y="1687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4" name="ID_6D28AD75807C4DFCA6240FAAC5448FF5" descr="修女风帽"/>
        <xdr:cNvPicPr>
          <a:picLocks noChangeAspect="1"/>
        </xdr:cNvPicPr>
      </xdr:nvPicPr>
      <xdr:blipFill>
        <a:blip r:embed="rId14" r:link="rId2"/>
        <a:stretch>
          <a:fillRect/>
        </a:stretch>
      </xdr:blipFill>
      <xdr:spPr>
        <a:xfrm>
          <a:off x="685800" y="1670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5" name="ID_3790A179563B44B09A20145B65DC76F6" descr="奴隶骑士头巾"/>
        <xdr:cNvPicPr>
          <a:picLocks noChangeAspect="1"/>
        </xdr:cNvPicPr>
      </xdr:nvPicPr>
      <xdr:blipFill>
        <a:blip r:embed="rId15" r:link="rId2"/>
        <a:stretch>
          <a:fillRect/>
        </a:stretch>
      </xdr:blipFill>
      <xdr:spPr>
        <a:xfrm>
          <a:off x="685800" y="16402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6" name="ID_656B413469FA4285AA6C23C903270467" descr="维赫勒头盔"/>
        <xdr:cNvPicPr>
          <a:picLocks noChangeAspect="1"/>
        </xdr:cNvPicPr>
      </xdr:nvPicPr>
      <xdr:blipFill>
        <a:blip r:embed="rId16" r:link="rId2"/>
        <a:stretch>
          <a:fillRect/>
        </a:stretch>
      </xdr:blipFill>
      <xdr:spPr>
        <a:xfrm>
          <a:off x="685800" y="16230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7" name="ID_19DE118AB2AD4F82B5E51E464B0DA1A8" descr="卡露拉三角帽子"/>
        <xdr:cNvPicPr>
          <a:picLocks noChangeAspect="1"/>
        </xdr:cNvPicPr>
      </xdr:nvPicPr>
      <xdr:blipFill>
        <a:blip r:embed="rId17" r:link="rId2"/>
        <a:stretch>
          <a:fillRect/>
        </a:stretch>
      </xdr:blipFill>
      <xdr:spPr>
        <a:xfrm>
          <a:off x="685800" y="15925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8" name="ID_5DB02719EE7A4119B6B3E5B3A4618D15" descr="刺针头盔"/>
        <xdr:cNvPicPr>
          <a:picLocks noChangeAspect="1"/>
        </xdr:cNvPicPr>
      </xdr:nvPicPr>
      <xdr:blipFill>
        <a:blip r:embed="rId18" r:link="rId2"/>
        <a:stretch>
          <a:fillRect/>
        </a:stretch>
      </xdr:blipFill>
      <xdr:spPr>
        <a:xfrm>
          <a:off x="685800" y="15754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9" name="ID_8D7865E1D9E749E98ED3ADCFFED51C52" descr="斯摩头盔"/>
        <xdr:cNvPicPr>
          <a:picLocks noChangeAspect="1"/>
        </xdr:cNvPicPr>
      </xdr:nvPicPr>
      <xdr:blipFill>
        <a:blip r:embed="rId19" r:link="rId2"/>
        <a:stretch>
          <a:fillRect/>
        </a:stretch>
      </xdr:blipFill>
      <xdr:spPr>
        <a:xfrm>
          <a:off x="685800" y="15582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0" name="ID_0B2D8C5C7F3548C89EA8E92260873D9E" descr="猎龙头盔"/>
        <xdr:cNvPicPr>
          <a:picLocks noChangeAspect="1"/>
        </xdr:cNvPicPr>
      </xdr:nvPicPr>
      <xdr:blipFill>
        <a:blip r:embed="rId20" r:link="rId2"/>
        <a:stretch>
          <a:fillRect/>
        </a:stretch>
      </xdr:blipFill>
      <xdr:spPr>
        <a:xfrm>
          <a:off x="685800" y="15411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1" name="ID_DD2B8E5AFC654FE9BBCED0F0F9A90544" descr="狼骑士头盔"/>
        <xdr:cNvPicPr>
          <a:picLocks noChangeAspect="1"/>
        </xdr:cNvPicPr>
      </xdr:nvPicPr>
      <xdr:blipFill>
        <a:blip r:embed="rId21" r:link="rId2"/>
        <a:stretch>
          <a:fillRect/>
        </a:stretch>
      </xdr:blipFill>
      <xdr:spPr>
        <a:xfrm>
          <a:off x="685800" y="15240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2" name="ID_0CAF5E0519A140B49EA598E1522B7868" descr="绘画使者头巾"/>
        <xdr:cNvPicPr>
          <a:picLocks noChangeAspect="1"/>
        </xdr:cNvPicPr>
      </xdr:nvPicPr>
      <xdr:blipFill>
        <a:blip r:embed="rId22" r:link="rId2"/>
        <a:stretch>
          <a:fillRect/>
        </a:stretch>
      </xdr:blipFill>
      <xdr:spPr>
        <a:xfrm>
          <a:off x="685800" y="14935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3" name="ID_4FC0077A060443A397D8C56F8606C161" descr="黑铁头盔"/>
        <xdr:cNvPicPr>
          <a:picLocks noChangeAspect="1"/>
        </xdr:cNvPicPr>
      </xdr:nvPicPr>
      <xdr:blipFill>
        <a:blip r:embed="rId23" r:link="rId2"/>
        <a:stretch>
          <a:fillRect/>
        </a:stretch>
      </xdr:blipFill>
      <xdr:spPr>
        <a:xfrm>
          <a:off x="685800" y="14763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4" name="ID_C92463C51A124CC48CF381D22EA8B6F1" descr="龙血头盔"/>
        <xdr:cNvPicPr>
          <a:picLocks noChangeAspect="1"/>
        </xdr:cNvPicPr>
      </xdr:nvPicPr>
      <xdr:blipFill>
        <a:blip r:embed="rId24" r:link="rId2"/>
        <a:stretch>
          <a:fillRect/>
        </a:stretch>
      </xdr:blipFill>
      <xdr:spPr>
        <a:xfrm>
          <a:off x="685800" y="14592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5" name="ID_71668223A7474A3CBA78E5CD997BF01F" descr="铁头盔"/>
        <xdr:cNvPicPr>
          <a:picLocks noChangeAspect="1"/>
        </xdr:cNvPicPr>
      </xdr:nvPicPr>
      <xdr:blipFill>
        <a:blip r:embed="rId25" r:link="rId2"/>
        <a:stretch>
          <a:fillRect/>
        </a:stretch>
      </xdr:blipFill>
      <xdr:spPr>
        <a:xfrm>
          <a:off x="685800" y="14420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6" name="ID_33DEBD0E156C4757A13891304322059E" descr="鲁卡提耶面具"/>
        <xdr:cNvPicPr>
          <a:picLocks noChangeAspect="1"/>
        </xdr:cNvPicPr>
      </xdr:nvPicPr>
      <xdr:blipFill>
        <a:blip r:embed="rId26" r:link="rId2"/>
        <a:stretch>
          <a:fillRect/>
        </a:stretch>
      </xdr:blipFill>
      <xdr:spPr>
        <a:xfrm>
          <a:off x="685800" y="14116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7" name="ID_621EF1ED2A3B4DBF9947550D87813BEC" descr="银骑士头盔"/>
        <xdr:cNvPicPr>
          <a:picLocks noChangeAspect="1"/>
        </xdr:cNvPicPr>
      </xdr:nvPicPr>
      <xdr:blipFill>
        <a:blip r:embed="rId27" r:link="rId2"/>
        <a:stretch>
          <a:fillRect/>
        </a:stretch>
      </xdr:blipFill>
      <xdr:spPr>
        <a:xfrm>
          <a:off x="685800" y="13944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8" name="ID_AB7A6F947DD94D8BB6DE1AD62A32B86B" descr="刺客头巾"/>
        <xdr:cNvPicPr>
          <a:picLocks noChangeAspect="1"/>
        </xdr:cNvPicPr>
      </xdr:nvPicPr>
      <xdr:blipFill>
        <a:blip r:embed="rId28" r:link="rId2"/>
        <a:stretch>
          <a:fillRect/>
        </a:stretch>
      </xdr:blipFill>
      <xdr:spPr>
        <a:xfrm>
          <a:off x="685800" y="2438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9" name="ID_4D9C7E88E75D4E358C4ACD29EF9880D1" descr="黑手帽子"/>
        <xdr:cNvPicPr>
          <a:picLocks noChangeAspect="1"/>
        </xdr:cNvPicPr>
      </xdr:nvPicPr>
      <xdr:blipFill>
        <a:blip r:embed="rId29" r:link="rId2"/>
        <a:stretch>
          <a:fillRect/>
        </a:stretch>
      </xdr:blipFill>
      <xdr:spPr>
        <a:xfrm>
          <a:off x="685800" y="2266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0" name="ID_0F432AB0DDF54096B54347F5EA908EC5" descr="薄暮面纱"/>
        <xdr:cNvPicPr>
          <a:picLocks noChangeAspect="1"/>
        </xdr:cNvPicPr>
      </xdr:nvPicPr>
      <xdr:blipFill>
        <a:blip r:embed="rId30" r:link="rId2"/>
        <a:stretch>
          <a:fillRect/>
        </a:stretch>
      </xdr:blipFill>
      <xdr:spPr>
        <a:xfrm>
          <a:off x="685800" y="2095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1" name="ID_F90C1220C9D041B29C70D109BC0FC894" descr="传令者头盔"/>
        <xdr:cNvPicPr>
          <a:picLocks noChangeAspect="1"/>
        </xdr:cNvPicPr>
      </xdr:nvPicPr>
      <xdr:blipFill>
        <a:blip r:embed="rId31" r:link="rId2"/>
        <a:stretch>
          <a:fillRect/>
        </a:stretch>
      </xdr:blipFill>
      <xdr:spPr>
        <a:xfrm>
          <a:off x="685800" y="1924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2" name="ID_123E0AA2C57B4DE8925AD856B6ABC497" descr="佣兵头盔"/>
        <xdr:cNvPicPr>
          <a:picLocks noChangeAspect="1"/>
        </xdr:cNvPicPr>
      </xdr:nvPicPr>
      <xdr:blipFill>
        <a:blip r:embed="rId32" r:link="rId2"/>
        <a:stretch>
          <a:fillRect/>
        </a:stretch>
      </xdr:blipFill>
      <xdr:spPr>
        <a:xfrm>
          <a:off x="685800" y="1752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3" name="ID_6194079D6CE34A7EA23D2FC826379C08" descr="传火头盔"/>
        <xdr:cNvPicPr>
          <a:picLocks noChangeAspect="1"/>
        </xdr:cNvPicPr>
      </xdr:nvPicPr>
      <xdr:blipFill>
        <a:blip r:embed="rId33" r:link="rId2"/>
        <a:stretch>
          <a:fillRect/>
        </a:stretch>
      </xdr:blipFill>
      <xdr:spPr>
        <a:xfrm>
          <a:off x="685800" y="1581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4" name="ID_659D97CC03CD46D2AFDF5628D8FAAFF5" descr="骑士头盔"/>
        <xdr:cNvPicPr>
          <a:picLocks noChangeAspect="1"/>
        </xdr:cNvPicPr>
      </xdr:nvPicPr>
      <xdr:blipFill>
        <a:blip r:embed="rId34" r:link="rId2"/>
        <a:stretch>
          <a:fillRect/>
        </a:stretch>
      </xdr:blipFill>
      <xdr:spPr>
        <a:xfrm>
          <a:off x="685800" y="1409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5" name="ID_D38E24525E9D429087C8750E4831BEDF" descr="亡命骑士头盔"/>
        <xdr:cNvPicPr>
          <a:picLocks noChangeAspect="1"/>
        </xdr:cNvPicPr>
      </xdr:nvPicPr>
      <xdr:blipFill>
        <a:blip r:embed="rId35" r:link="rId2"/>
        <a:stretch>
          <a:fillRect/>
        </a:stretch>
      </xdr:blipFill>
      <xdr:spPr>
        <a:xfrm>
          <a:off x="1152525" y="744855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6" name="ID_19498DEFEDFA464C8D2BF3ED7A365911" descr="黄衣头冠"/>
        <xdr:cNvPicPr>
          <a:picLocks noChangeAspect="1"/>
        </xdr:cNvPicPr>
      </xdr:nvPicPr>
      <xdr:blipFill>
        <a:blip r:embed="rId36" r:link="rId2"/>
        <a:stretch>
          <a:fillRect/>
        </a:stretch>
      </xdr:blipFill>
      <xdr:spPr>
        <a:xfrm>
          <a:off x="685800" y="2609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7" name="ID_DE64477CCEBF45238954AE792210B46D" descr="北方头盔"/>
        <xdr:cNvPicPr>
          <a:picLocks noChangeAspect="1"/>
        </xdr:cNvPicPr>
      </xdr:nvPicPr>
      <xdr:blipFill>
        <a:blip r:embed="rId37" r:link="rId2"/>
        <a:stretch>
          <a:fillRect/>
        </a:stretch>
      </xdr:blipFill>
      <xdr:spPr>
        <a:xfrm>
          <a:off x="685800" y="2781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8" name="ID_557277A747884DB2848289AE41B281CC" descr="摩恩头盔"/>
        <xdr:cNvPicPr>
          <a:picLocks noChangeAspect="1"/>
        </xdr:cNvPicPr>
      </xdr:nvPicPr>
      <xdr:blipFill>
        <a:blip r:embed="rId38" r:link="rId2"/>
        <a:stretch>
          <a:fillRect/>
        </a:stretch>
      </xdr:blipFill>
      <xdr:spPr>
        <a:xfrm>
          <a:off x="685800" y="2952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9" name="ID_6B617E6429164805B17CD92806DB3643" descr="银面具"/>
        <xdr:cNvPicPr>
          <a:picLocks noChangeAspect="1"/>
        </xdr:cNvPicPr>
      </xdr:nvPicPr>
      <xdr:blipFill>
        <a:blip r:embed="rId39" r:link="rId2"/>
        <a:stretch>
          <a:fillRect/>
        </a:stretch>
      </xdr:blipFill>
      <xdr:spPr>
        <a:xfrm>
          <a:off x="685800" y="3124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0" name="ID_26AFD016109D4288991004605CC7C101" descr="微笑面具"/>
        <xdr:cNvPicPr>
          <a:picLocks noChangeAspect="1"/>
        </xdr:cNvPicPr>
      </xdr:nvPicPr>
      <xdr:blipFill>
        <a:blip r:embed="rId40" r:link="rId2"/>
        <a:stretch>
          <a:fillRect/>
        </a:stretch>
      </xdr:blipFill>
      <xdr:spPr>
        <a:xfrm>
          <a:off x="685800" y="3295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1" name="ID_78BE25461BDD4DF4870CF08347D3F81F" descr="黄昏头盔"/>
        <xdr:cNvPicPr>
          <a:picLocks noChangeAspect="1"/>
        </xdr:cNvPicPr>
      </xdr:nvPicPr>
      <xdr:blipFill>
        <a:blip r:embed="rId41" r:link="rId2"/>
        <a:stretch>
          <a:fillRect/>
        </a:stretch>
      </xdr:blipFill>
      <xdr:spPr>
        <a:xfrm>
          <a:off x="685800" y="3467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2" name="ID_604807A0705F4D82964C367D3BB47268" descr="师长遮眼布"/>
        <xdr:cNvPicPr>
          <a:picLocks noChangeAspect="1"/>
        </xdr:cNvPicPr>
      </xdr:nvPicPr>
      <xdr:blipFill>
        <a:blip r:embed="rId42" r:link="rId2"/>
        <a:stretch>
          <a:fillRect/>
        </a:stretch>
      </xdr:blipFill>
      <xdr:spPr>
        <a:xfrm>
          <a:off x="685800" y="3638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3" name="ID_20ABADFD11454411ACBE661C9B477B05" descr="处刑者头盔"/>
        <xdr:cNvPicPr>
          <a:picLocks noChangeAspect="1"/>
        </xdr:cNvPicPr>
      </xdr:nvPicPr>
      <xdr:blipFill>
        <a:blip r:embed="rId43" r:link="rId2"/>
        <a:stretch>
          <a:fillRect/>
        </a:stretch>
      </xdr:blipFill>
      <xdr:spPr>
        <a:xfrm>
          <a:off x="685800" y="3810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4" name="ID_AAB290EEA8AB455E98F54EBE25EB484A" descr="鸟喙面具"/>
        <xdr:cNvPicPr>
          <a:picLocks noChangeAspect="1"/>
        </xdr:cNvPicPr>
      </xdr:nvPicPr>
      <xdr:blipFill>
        <a:blip r:embed="rId44" r:link="rId2"/>
        <a:stretch>
          <a:fillRect/>
        </a:stretch>
      </xdr:blipFill>
      <xdr:spPr>
        <a:xfrm>
          <a:off x="685800" y="3981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5" name="ID_7792963C922F4F1584294CF71E9553A0" descr="咒术师头冠"/>
        <xdr:cNvPicPr>
          <a:picLocks noChangeAspect="1"/>
        </xdr:cNvPicPr>
      </xdr:nvPicPr>
      <xdr:blipFill>
        <a:blip r:embed="rId45" r:link="rId2"/>
        <a:stretch>
          <a:fillRect/>
        </a:stretch>
      </xdr:blipFill>
      <xdr:spPr>
        <a:xfrm>
          <a:off x="685800" y="4152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6" name="ID_51ACAAF1E62147A88F3101F5A9446C84" descr="宫廷魔法师风帽"/>
        <xdr:cNvPicPr>
          <a:picLocks noChangeAspect="1"/>
        </xdr:cNvPicPr>
      </xdr:nvPicPr>
      <xdr:blipFill>
        <a:blip r:embed="rId46" r:link="rId2"/>
        <a:stretch>
          <a:fillRect/>
        </a:stretch>
      </xdr:blipFill>
      <xdr:spPr>
        <a:xfrm>
          <a:off x="685800" y="4324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7" name="ID_0AAC7052CDCA4425988090C7AF080027" descr="魔法师头巾"/>
        <xdr:cNvPicPr>
          <a:picLocks noChangeAspect="1"/>
        </xdr:cNvPicPr>
      </xdr:nvPicPr>
      <xdr:blipFill>
        <a:blip r:embed="rId47" r:link="rId2"/>
        <a:stretch>
          <a:fillRect/>
        </a:stretch>
      </xdr:blipFill>
      <xdr:spPr>
        <a:xfrm>
          <a:off x="685800" y="4629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8" name="ID_D34654FF7C534977B29E4821CDE1F305" descr="圣职帽子"/>
        <xdr:cNvPicPr>
          <a:picLocks noChangeAspect="1"/>
        </xdr:cNvPicPr>
      </xdr:nvPicPr>
      <xdr:blipFill>
        <a:blip r:embed="rId48" r:link="rId2"/>
        <a:stretch>
          <a:fillRect/>
        </a:stretch>
      </xdr:blipFill>
      <xdr:spPr>
        <a:xfrm>
          <a:off x="685800" y="48006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9" name="ID_405F8388486B41119AB5D28D45D31B94" descr="士兵铁盔"/>
        <xdr:cNvPicPr>
          <a:picLocks noChangeAspect="1"/>
        </xdr:cNvPicPr>
      </xdr:nvPicPr>
      <xdr:blipFill>
        <a:blip r:embed="rId49" r:link="rId2"/>
        <a:stretch>
          <a:fillRect/>
        </a:stretch>
      </xdr:blipFill>
      <xdr:spPr>
        <a:xfrm>
          <a:off x="685800" y="4972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0" name="ID_010A4DB4D94140B08485D6EEA0E7B50A" descr="老者大帽子"/>
        <xdr:cNvPicPr>
          <a:picLocks noChangeAspect="1"/>
        </xdr:cNvPicPr>
      </xdr:nvPicPr>
      <xdr:blipFill>
        <a:blip r:embed="rId50" r:link="rId2"/>
        <a:stretch>
          <a:fillRect/>
        </a:stretch>
      </xdr:blipFill>
      <xdr:spPr>
        <a:xfrm>
          <a:off x="685800" y="5143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1" name="ID_E7C6D7D8B8954B47B1D493B5D8A03BB3" descr="贵族面具"/>
        <xdr:cNvPicPr>
          <a:picLocks noChangeAspect="1"/>
        </xdr:cNvPicPr>
      </xdr:nvPicPr>
      <xdr:blipFill>
        <a:blip r:embed="rId51" r:link="rId2"/>
        <a:stretch>
          <a:fillRect/>
        </a:stretch>
      </xdr:blipFill>
      <xdr:spPr>
        <a:xfrm>
          <a:off x="685800" y="5314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2" name="ID_15C2159DEF894EE78F0ED14E920D9946" descr="守墓人风帽"/>
        <xdr:cNvPicPr>
          <a:picLocks noChangeAspect="1"/>
        </xdr:cNvPicPr>
      </xdr:nvPicPr>
      <xdr:blipFill>
        <a:blip r:embed="rId52" r:link="rId2"/>
        <a:stretch>
          <a:fillRect/>
        </a:stretch>
      </xdr:blipFill>
      <xdr:spPr>
        <a:xfrm>
          <a:off x="685800" y="5486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3" name="ID_00FADF8945BA44A697D1584E57003495" descr="工作用帽子"/>
        <xdr:cNvPicPr>
          <a:picLocks noChangeAspect="1"/>
        </xdr:cNvPicPr>
      </xdr:nvPicPr>
      <xdr:blipFill>
        <a:blip r:embed="rId53" r:link="rId2"/>
        <a:stretch>
          <a:fillRect/>
        </a:stretch>
      </xdr:blipFill>
      <xdr:spPr>
        <a:xfrm>
          <a:off x="685800" y="5657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4" name="ID_9596EB02F7984AFFA6A35DA7114B3801" descr="奴隶头巾"/>
        <xdr:cNvPicPr>
          <a:picLocks noChangeAspect="1"/>
        </xdr:cNvPicPr>
      </xdr:nvPicPr>
      <xdr:blipFill>
        <a:blip r:embed="rId54" r:link="rId2"/>
        <a:stretch>
          <a:fillRect/>
        </a:stretch>
      </xdr:blipFill>
      <xdr:spPr>
        <a:xfrm>
          <a:off x="685800" y="5829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5" name="ID_4F39DE4A06CE460BAEB365392E4F0E7D" descr="导师帽子"/>
        <xdr:cNvPicPr>
          <a:picLocks noChangeAspect="1"/>
        </xdr:cNvPicPr>
      </xdr:nvPicPr>
      <xdr:blipFill>
        <a:blip r:embed="rId55" r:link="rId2"/>
        <a:stretch>
          <a:fillRect/>
        </a:stretch>
      </xdr:blipFill>
      <xdr:spPr>
        <a:xfrm>
          <a:off x="685800" y="6000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6" name="ID_0DF9A63FA1944E1F89E114694CFBE257" descr="羽翼骑士头盔"/>
        <xdr:cNvPicPr>
          <a:picLocks noChangeAspect="1"/>
        </xdr:cNvPicPr>
      </xdr:nvPicPr>
      <xdr:blipFill>
        <a:blip r:embed="rId56" r:link="rId2"/>
        <a:stretch>
          <a:fillRect/>
        </a:stretch>
      </xdr:blipFill>
      <xdr:spPr>
        <a:xfrm>
          <a:off x="685800" y="6172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7" name="ID_4A15FDFDE8144AABB41D4F417595715C" descr="教堂骑士头盔"/>
        <xdr:cNvPicPr>
          <a:picLocks noChangeAspect="1"/>
        </xdr:cNvPicPr>
      </xdr:nvPicPr>
      <xdr:blipFill>
        <a:blip r:embed="rId57" r:link="rId2"/>
        <a:stretch>
          <a:fillRect/>
        </a:stretch>
      </xdr:blipFill>
      <xdr:spPr>
        <a:xfrm>
          <a:off x="685800" y="6477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8" name="ID_C6A7130C61D145F5A9C1F8B5546EAF98" descr="洛斯里克骑士头盔"/>
        <xdr:cNvPicPr>
          <a:picLocks noChangeAspect="1"/>
        </xdr:cNvPicPr>
      </xdr:nvPicPr>
      <xdr:blipFill>
        <a:blip r:embed="rId58" r:link="rId2"/>
        <a:stretch>
          <a:fillRect/>
        </a:stretch>
      </xdr:blipFill>
      <xdr:spPr>
        <a:xfrm>
          <a:off x="685800" y="6781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9" name="ID_5708633BEF90424AA2589867E77195C8" descr="征战骑士头盔"/>
        <xdr:cNvPicPr>
          <a:picLocks noChangeAspect="1"/>
        </xdr:cNvPicPr>
      </xdr:nvPicPr>
      <xdr:blipFill>
        <a:blip r:embed="rId59" r:link="rId2"/>
        <a:stretch>
          <a:fillRect/>
        </a:stretch>
      </xdr:blipFill>
      <xdr:spPr>
        <a:xfrm>
          <a:off x="685800" y="7086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0" name="ID_5DE77AD2C3F24562B5A6C2AD795FCD7B" descr="黑骑士头盔"/>
        <xdr:cNvPicPr>
          <a:picLocks noChangeAspect="1"/>
        </xdr:cNvPicPr>
      </xdr:nvPicPr>
      <xdr:blipFill>
        <a:blip r:embed="rId60" r:link="rId2"/>
        <a:stretch>
          <a:fillRect/>
        </a:stretch>
      </xdr:blipFill>
      <xdr:spPr>
        <a:xfrm>
          <a:off x="685800" y="7391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1" name="ID_61B0C7E699414FE2A3231D51518DFA49" descr="流放者面具"/>
        <xdr:cNvPicPr>
          <a:picLocks noChangeAspect="1"/>
        </xdr:cNvPicPr>
      </xdr:nvPicPr>
      <xdr:blipFill>
        <a:blip r:embed="rId61" r:link="rId2"/>
        <a:stretch>
          <a:fillRect/>
        </a:stretch>
      </xdr:blipFill>
      <xdr:spPr>
        <a:xfrm>
          <a:off x="685800" y="7562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2" name="ID_B3BFCE4F97D34BE5A6750224B4CBAA28" descr="教宗骑士头冠"/>
        <xdr:cNvPicPr>
          <a:picLocks noChangeAspect="1"/>
        </xdr:cNvPicPr>
      </xdr:nvPicPr>
      <xdr:blipFill>
        <a:blip r:embed="rId62" r:link="rId2"/>
        <a:stretch>
          <a:fillRect/>
        </a:stretch>
      </xdr:blipFill>
      <xdr:spPr>
        <a:xfrm>
          <a:off x="685800" y="7734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3" name="ID_08E900AF9E384D9DB6FFAF99E28356F1" descr="黄金王冠"/>
        <xdr:cNvPicPr>
          <a:picLocks noChangeAspect="1"/>
        </xdr:cNvPicPr>
      </xdr:nvPicPr>
      <xdr:blipFill>
        <a:blip r:embed="rId63" r:link="rId2"/>
        <a:stretch>
          <a:fillRect/>
        </a:stretch>
      </xdr:blipFill>
      <xdr:spPr>
        <a:xfrm>
          <a:off x="685800" y="8039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4" name="ID_A10B1F021A9B4D3B85B9F714D2AE1931" descr="沃尼尔王冠"/>
        <xdr:cNvPicPr>
          <a:picLocks noChangeAspect="1"/>
        </xdr:cNvPicPr>
      </xdr:nvPicPr>
      <xdr:blipFill>
        <a:blip r:embed="rId64" r:link="rId2"/>
        <a:stretch>
          <a:fillRect/>
        </a:stretch>
      </xdr:blipFill>
      <xdr:spPr>
        <a:xfrm>
          <a:off x="685800" y="8210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5" name="ID_20F15E8919E743678E6BAB205B8936DE" descr="不死队头盔"/>
        <xdr:cNvPicPr>
          <a:picLocks noChangeAspect="1"/>
        </xdr:cNvPicPr>
      </xdr:nvPicPr>
      <xdr:blipFill>
        <a:blip r:embed="rId65" r:link="rId2"/>
        <a:stretch>
          <a:fillRect/>
        </a:stretch>
      </xdr:blipFill>
      <xdr:spPr>
        <a:xfrm>
          <a:off x="685800" y="8382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6" name="ID_EFFAF6A9CA294CDF90537502B14A6F4F" descr="火焰魔女头盔"/>
        <xdr:cNvPicPr>
          <a:picLocks noChangeAspect="1"/>
        </xdr:cNvPicPr>
      </xdr:nvPicPr>
      <xdr:blipFill>
        <a:blip r:embed="rId66" r:link="rId2"/>
        <a:stretch>
          <a:fillRect/>
        </a:stretch>
      </xdr:blipFill>
      <xdr:spPr>
        <a:xfrm>
          <a:off x="685800" y="8553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7" name="ID_71A3F8E1C33240429CFADC969E7D1438" descr="洛里安头盔"/>
        <xdr:cNvPicPr>
          <a:picLocks noChangeAspect="1"/>
        </xdr:cNvPicPr>
      </xdr:nvPicPr>
      <xdr:blipFill>
        <a:blip r:embed="rId67" r:link="rId2"/>
        <a:stretch>
          <a:fillRect/>
        </a:stretch>
      </xdr:blipFill>
      <xdr:spPr>
        <a:xfrm>
          <a:off x="685800" y="8858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8" name="ID_00F8985F8C5B42EAB31038BEB4B37201" descr="祈祷风帽"/>
        <xdr:cNvPicPr>
          <a:picLocks noChangeAspect="1"/>
        </xdr:cNvPicPr>
      </xdr:nvPicPr>
      <xdr:blipFill>
        <a:blip r:embed="rId68" r:link="rId2"/>
        <a:stretch>
          <a:fillRect/>
        </a:stretch>
      </xdr:blipFill>
      <xdr:spPr>
        <a:xfrm>
          <a:off x="685800" y="9029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9" name="ID_418B6B81873D4E1699F87D90549C0BDC" descr="舞娘头冠"/>
        <xdr:cNvPicPr>
          <a:picLocks noChangeAspect="1"/>
        </xdr:cNvPicPr>
      </xdr:nvPicPr>
      <xdr:blipFill>
        <a:blip r:embed="rId69" r:link="rId2"/>
        <a:stretch>
          <a:fillRect/>
        </a:stretch>
      </xdr:blipFill>
      <xdr:spPr>
        <a:xfrm>
          <a:off x="685800" y="9201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0" name="ID_7AEFF779FD014AF18F4C4A3267C2B476" descr="古达头盔"/>
        <xdr:cNvPicPr>
          <a:picLocks noChangeAspect="1"/>
        </xdr:cNvPicPr>
      </xdr:nvPicPr>
      <xdr:blipFill>
        <a:blip r:embed="rId70" r:link="rId2"/>
        <a:stretch>
          <a:fillRect/>
        </a:stretch>
      </xdr:blipFill>
      <xdr:spPr>
        <a:xfrm>
          <a:off x="685800" y="9372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1" name="ID_93F9D661568B4B6D9805E1051815FCC1" descr="大主教白冠"/>
        <xdr:cNvPicPr>
          <a:picLocks noChangeAspect="1"/>
        </xdr:cNvPicPr>
      </xdr:nvPicPr>
      <xdr:blipFill>
        <a:blip r:embed="rId71" r:link="rId2"/>
        <a:stretch>
          <a:fillRect/>
        </a:stretch>
      </xdr:blipFill>
      <xdr:spPr>
        <a:xfrm>
          <a:off x="685800" y="9544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2" name="ID_CB6BA99DDAB64856B7E725A35B06781F" descr="锁子头盔"/>
        <xdr:cNvPicPr>
          <a:picLocks noChangeAspect="1"/>
        </xdr:cNvPicPr>
      </xdr:nvPicPr>
      <xdr:blipFill>
        <a:blip r:embed="rId72" r:link="rId2"/>
        <a:stretch>
          <a:fillRect/>
        </a:stretch>
      </xdr:blipFill>
      <xdr:spPr>
        <a:xfrm>
          <a:off x="685800" y="97155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3" name="ID_2FC8485DF7A74C2293395149A0FE47E5" descr="无名骑士头盔"/>
        <xdr:cNvPicPr>
          <a:picLocks noChangeAspect="1"/>
        </xdr:cNvPicPr>
      </xdr:nvPicPr>
      <xdr:blipFill>
        <a:blip r:embed="rId73" r:link="rId2"/>
        <a:stretch>
          <a:fillRect/>
        </a:stretch>
      </xdr:blipFill>
      <xdr:spPr>
        <a:xfrm>
          <a:off x="685800" y="9886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4" name="ID_82EAF21F4B8D4F4E8CA392BC5DE57C20" descr="上级骑士头盔"/>
        <xdr:cNvPicPr>
          <a:picLocks noChangeAspect="1"/>
        </xdr:cNvPicPr>
      </xdr:nvPicPr>
      <xdr:blipFill>
        <a:blip r:embed="rId74" r:link="rId2"/>
        <a:stretch>
          <a:fillRect/>
        </a:stretch>
      </xdr:blipFill>
      <xdr:spPr>
        <a:xfrm>
          <a:off x="685800" y="10191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5" name="ID_09D27181AFE34829A565EF8FBB834EA1" descr="法汉头盔"/>
        <xdr:cNvPicPr>
          <a:picLocks noChangeAspect="1"/>
        </xdr:cNvPicPr>
      </xdr:nvPicPr>
      <xdr:blipFill>
        <a:blip r:embed="rId75" r:link="rId2"/>
        <a:stretch>
          <a:fillRect/>
        </a:stretch>
      </xdr:blipFill>
      <xdr:spPr>
        <a:xfrm>
          <a:off x="685800" y="10496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6" name="ID_F88EA46C491147D0ADE1A9606A052DD8" descr="卡塔利纳头盔"/>
        <xdr:cNvPicPr>
          <a:picLocks noChangeAspect="1"/>
        </xdr:cNvPicPr>
      </xdr:nvPicPr>
      <xdr:blipFill>
        <a:blip r:embed="rId76" r:link="rId2"/>
        <a:stretch>
          <a:fillRect/>
        </a:stretch>
      </xdr:blipFill>
      <xdr:spPr>
        <a:xfrm>
          <a:off x="685800" y="10668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7" name="ID_822FCAE606E24F8D83ABB0C18E709778" descr="铁头盔"/>
        <xdr:cNvPicPr>
          <a:picLocks noChangeAspect="1"/>
        </xdr:cNvPicPr>
      </xdr:nvPicPr>
      <xdr:blipFill>
        <a:blip r:embed="rId77" r:link="rId2"/>
        <a:stretch>
          <a:fillRect/>
        </a:stretch>
      </xdr:blipFill>
      <xdr:spPr>
        <a:xfrm>
          <a:off x="685800" y="109728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8" name="ID_0ACD868CB6DF4A6D92F401E89B46BEA5" descr="哈维尔头盔"/>
        <xdr:cNvPicPr>
          <a:picLocks noChangeAspect="1"/>
        </xdr:cNvPicPr>
      </xdr:nvPicPr>
      <xdr:blipFill>
        <a:blip r:embed="rId78" r:link="rId2"/>
        <a:stretch>
          <a:fillRect/>
        </a:stretch>
      </xdr:blipFill>
      <xdr:spPr>
        <a:xfrm>
          <a:off x="685800" y="11144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9" name="ID_1F9BA892103F4E59AF98921914CEE573" descr="山贼头巾"/>
        <xdr:cNvPicPr>
          <a:picLocks noChangeAspect="1"/>
        </xdr:cNvPicPr>
      </xdr:nvPicPr>
      <xdr:blipFill>
        <a:blip r:embed="rId79" r:link="rId2"/>
        <a:stretch>
          <a:fillRect/>
        </a:stretch>
      </xdr:blipFill>
      <xdr:spPr>
        <a:xfrm>
          <a:off x="685800" y="113157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0" name="ID_C24A6FAECC8F403B8D33BDC29A6597FA" descr="法里斯帽子"/>
        <xdr:cNvPicPr>
          <a:picLocks noChangeAspect="1"/>
        </xdr:cNvPicPr>
      </xdr:nvPicPr>
      <xdr:blipFill>
        <a:blip r:embed="rId80" r:link="rId2"/>
        <a:stretch>
          <a:fillRect/>
        </a:stretch>
      </xdr:blipFill>
      <xdr:spPr>
        <a:xfrm>
          <a:off x="685800" y="11487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1" name="ID_1CD1D62D933845BFBB8918537702D787" descr="破布面罩"/>
        <xdr:cNvPicPr>
          <a:picLocks noChangeAspect="1"/>
        </xdr:cNvPicPr>
      </xdr:nvPicPr>
      <xdr:blipFill>
        <a:blip r:embed="rId81" r:link="rId2"/>
        <a:stretch>
          <a:fillRect/>
        </a:stretch>
      </xdr:blipFill>
      <xdr:spPr>
        <a:xfrm>
          <a:off x="685800" y="11658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2" name="ID_A8DFFB6251F94E7787AFEE729F779DC5" descr="古老魔法师帽子"/>
        <xdr:cNvPicPr>
          <a:picLocks noChangeAspect="1"/>
        </xdr:cNvPicPr>
      </xdr:nvPicPr>
      <xdr:blipFill>
        <a:blip r:embed="rId82" r:link="rId2"/>
        <a:stretch>
          <a:fillRect/>
        </a:stretch>
      </xdr:blipFill>
      <xdr:spPr>
        <a:xfrm>
          <a:off x="685800" y="118300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3" name="ID_20384E84D4D74856A7B7FE957775CD19" descr="诅咒师风帽"/>
        <xdr:cNvPicPr>
          <a:picLocks noChangeAspect="1"/>
        </xdr:cNvPicPr>
      </xdr:nvPicPr>
      <xdr:blipFill>
        <a:blip r:embed="rId83" r:link="rId2"/>
        <a:stretch>
          <a:fillRect/>
        </a:stretch>
      </xdr:blipFill>
      <xdr:spPr>
        <a:xfrm>
          <a:off x="685800" y="121348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4" name="ID_5DCD7E7E875C4B00B06FDF97237C2685" descr="贪欲者的烙印"/>
        <xdr:cNvPicPr>
          <a:picLocks noChangeAspect="1"/>
        </xdr:cNvPicPr>
      </xdr:nvPicPr>
      <xdr:blipFill>
        <a:blip r:embed="rId84" r:link="rId2"/>
        <a:stretch>
          <a:fillRect/>
        </a:stretch>
      </xdr:blipFill>
      <xdr:spPr>
        <a:xfrm>
          <a:off x="685800" y="12306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5" name="ID_34BDFBF579DC4BA8896A5CD9D83A051A" descr="克雷顿铁面罩"/>
        <xdr:cNvPicPr>
          <a:picLocks noChangeAspect="1"/>
        </xdr:cNvPicPr>
      </xdr:nvPicPr>
      <xdr:blipFill>
        <a:blip r:embed="rId85" r:link="rId2"/>
        <a:stretch>
          <a:fillRect/>
        </a:stretch>
      </xdr:blipFill>
      <xdr:spPr>
        <a:xfrm>
          <a:off x="685800" y="12611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6" name="ID_F86D712DD3594992852AEA5A17320BDD" descr="圣女风帽"/>
        <xdr:cNvPicPr>
          <a:picLocks noChangeAspect="1"/>
        </xdr:cNvPicPr>
      </xdr:nvPicPr>
      <xdr:blipFill>
        <a:blip r:embed="rId86" r:link="rId2"/>
        <a:stretch>
          <a:fillRect/>
        </a:stretch>
      </xdr:blipFill>
      <xdr:spPr>
        <a:xfrm>
          <a:off x="685800" y="12915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7" name="ID_43A26E602CFF44899BFDCD11E04BD4E5" descr="亚瓦头盔"/>
        <xdr:cNvPicPr>
          <a:picLocks noChangeAspect="1"/>
        </xdr:cNvPicPr>
      </xdr:nvPicPr>
      <xdr:blipFill>
        <a:blip r:embed="rId87" r:link="rId2"/>
        <a:stretch>
          <a:fillRect/>
        </a:stretch>
      </xdr:blipFill>
      <xdr:spPr>
        <a:xfrm>
          <a:off x="685800" y="13087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8" name="ID_FC415D11919A4FC7B157060649E974BD" descr="黑影蒙面布"/>
        <xdr:cNvPicPr>
          <a:picLocks noChangeAspect="1"/>
        </xdr:cNvPicPr>
      </xdr:nvPicPr>
      <xdr:blipFill>
        <a:blip r:embed="rId88" r:link="rId2"/>
        <a:stretch>
          <a:fillRect/>
        </a:stretch>
      </xdr:blipFill>
      <xdr:spPr>
        <a:xfrm>
          <a:off x="685800" y="132588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9" name="ID_134239101B1E42BB80148AA7189498AC" descr="东方头盔"/>
        <xdr:cNvPicPr>
          <a:picLocks noChangeAspect="1"/>
        </xdr:cNvPicPr>
      </xdr:nvPicPr>
      <xdr:blipFill>
        <a:blip r:embed="rId89" r:link="rId2"/>
        <a:stretch>
          <a:fillRect/>
        </a:stretch>
      </xdr:blipFill>
      <xdr:spPr>
        <a:xfrm>
          <a:off x="685800" y="13430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0" name="ID_F73159957ADB4DFCAB63331DB17F8B44" descr="宠爱的头盔"/>
        <xdr:cNvPicPr>
          <a:picLocks noChangeAspect="1"/>
        </xdr:cNvPicPr>
      </xdr:nvPicPr>
      <xdr:blipFill>
        <a:blip r:embed="rId90" r:link="rId2"/>
        <a:stretch>
          <a:fillRect/>
        </a:stretch>
      </xdr:blipFill>
      <xdr:spPr>
        <a:xfrm>
          <a:off x="685800" y="13601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1" name="ID_10C9DCFD29BA488AA76B2928BCEF92E5" descr="黄铜头盔"/>
        <xdr:cNvPicPr>
          <a:picLocks noChangeAspect="1"/>
        </xdr:cNvPicPr>
      </xdr:nvPicPr>
      <xdr:blipFill>
        <a:blip r:embed="rId91" r:link="rId2"/>
        <a:stretch>
          <a:fillRect/>
        </a:stretch>
      </xdr:blipFill>
      <xdr:spPr>
        <a:xfrm>
          <a:off x="685800" y="13773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3" name="ID_0BE7120287554574BF5850AA76BC1FA7" descr="120px-小偷面具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857250" y="86134575"/>
          <a:ext cx="1143000" cy="1143000"/>
        </a:xfrm>
        <a:prstGeom prst="rect">
          <a:avLst/>
        </a:prstGeom>
      </xdr:spPr>
    </xdr:pic>
  </etc:cellImage>
  <etc:cellImage>
    <xdr:pic>
      <xdr:nvPicPr>
        <xdr:cNvPr id="274" name="ID_673F3B3C37094AAE96D03B312A171CC2" descr="60px-幽暗头冠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1219200" y="88411050"/>
          <a:ext cx="571500" cy="571500"/>
        </a:xfrm>
        <a:prstGeom prst="rect">
          <a:avLst/>
        </a:prstGeom>
      </xdr:spPr>
    </xdr:pic>
  </etc:cellImage>
  <etc:cellImage>
    <xdr:pic>
      <xdr:nvPicPr>
        <xdr:cNvPr id="275" name="ID_26B38A2275E04FD6AF2F26BC57AECEF6" descr="60px-黑暗面罩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390650" y="87582375"/>
          <a:ext cx="571500" cy="571500"/>
        </a:xfrm>
        <a:prstGeom prst="rect">
          <a:avLst/>
        </a:prstGeom>
      </xdr:spPr>
    </xdr:pic>
  </etc:cellImage>
  <etc:cellImage>
    <xdr:pic>
      <xdr:nvPicPr>
        <xdr:cNvPr id="277" name="ID_691D9477D2DA44D6BB8F07AA156BED5C" descr="黑魔女外衣"/>
        <xdr:cNvPicPr>
          <a:picLocks noChangeAspect="1"/>
        </xdr:cNvPicPr>
      </xdr:nvPicPr>
      <xdr:blipFill>
        <a:blip r:embed="rId95" r:link="rId2"/>
        <a:stretch>
          <a:fillRect/>
        </a:stretch>
      </xdr:blipFill>
      <xdr:spPr>
        <a:xfrm>
          <a:off x="685800" y="186690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8" name="ID_51C8A24DB2B34EA29854701E96A6BD37" descr="沙之咒术师外衣"/>
        <xdr:cNvPicPr>
          <a:picLocks noChangeAspect="1"/>
        </xdr:cNvPicPr>
      </xdr:nvPicPr>
      <xdr:blipFill>
        <a:blip r:embed="rId96" r:link="rId2"/>
        <a:stretch>
          <a:fillRect/>
        </a:stretch>
      </xdr:blipFill>
      <xdr:spPr>
        <a:xfrm>
          <a:off x="685800" y="183642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9" name="ID_B7A363D2B0BA42D0A55134DAC60957C4" descr="虚空铠甲"/>
        <xdr:cNvPicPr>
          <a:picLocks noChangeAspect="1"/>
        </xdr:cNvPicPr>
      </xdr:nvPicPr>
      <xdr:blipFill>
        <a:blip r:embed="rId97" r:link="rId2"/>
        <a:stretch>
          <a:fillRect/>
        </a:stretch>
      </xdr:blipFill>
      <xdr:spPr>
        <a:xfrm>
          <a:off x="685800" y="18192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0" name="ID_AE197FAC26624290B20CDD5A0CFE805F" descr="镕铁猎龙铠甲"/>
        <xdr:cNvPicPr>
          <a:picLocks noChangeAspect="1"/>
        </xdr:cNvPicPr>
      </xdr:nvPicPr>
      <xdr:blipFill>
        <a:blip r:embed="rId98" r:link="rId2"/>
        <a:stretch>
          <a:fillRect/>
        </a:stretch>
      </xdr:blipFill>
      <xdr:spPr>
        <a:xfrm>
          <a:off x="685800" y="17887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1" name="ID_F8FEFB2D035642178E347BF0E5B72808" descr="哈兰得铠甲"/>
        <xdr:cNvPicPr>
          <a:picLocks noChangeAspect="1"/>
        </xdr:cNvPicPr>
      </xdr:nvPicPr>
      <xdr:blipFill>
        <a:blip r:embed="rId99" r:link="rId2"/>
        <a:stretch>
          <a:fillRect/>
        </a:stretch>
      </xdr:blipFill>
      <xdr:spPr>
        <a:xfrm>
          <a:off x="685800" y="17716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2" name="ID_77BAE0D6E1174A198D0B4EF2BE07F332" descr="环印骑士铠甲"/>
        <xdr:cNvPicPr>
          <a:picLocks noChangeAspect="1"/>
        </xdr:cNvPicPr>
      </xdr:nvPicPr>
      <xdr:blipFill>
        <a:blip r:embed="rId100" r:link="rId2"/>
        <a:stretch>
          <a:fillRect/>
        </a:stretch>
      </xdr:blipFill>
      <xdr:spPr>
        <a:xfrm>
          <a:off x="685800" y="17411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3" name="ID_8268F3FEE4F7496CBDB7DEC999147A72" descr="拉普铠甲"/>
        <xdr:cNvPicPr>
          <a:picLocks noChangeAspect="1"/>
        </xdr:cNvPicPr>
      </xdr:nvPicPr>
      <xdr:blipFill>
        <a:blip r:embed="rId101" r:link="rId2"/>
        <a:stretch>
          <a:fillRect/>
        </a:stretch>
      </xdr:blipFill>
      <xdr:spPr>
        <a:xfrm>
          <a:off x="685800" y="17240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4" name="ID_80BF28FC0277426CA14F617011AEDF4B" descr="希拉铠甲"/>
        <xdr:cNvPicPr>
          <a:picLocks noChangeAspect="1"/>
        </xdr:cNvPicPr>
      </xdr:nvPicPr>
      <xdr:blipFill>
        <a:blip r:embed="rId102" r:link="rId2"/>
        <a:stretch>
          <a:fillRect/>
        </a:stretch>
      </xdr:blipFill>
      <xdr:spPr>
        <a:xfrm>
          <a:off x="685800" y="17068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5" name="ID_449BBA0A37C542998C1DE453997AF446" descr="古式便服"/>
        <xdr:cNvPicPr>
          <a:picLocks noChangeAspect="1"/>
        </xdr:cNvPicPr>
      </xdr:nvPicPr>
      <xdr:blipFill>
        <a:blip r:embed="rId103" r:link="rId2"/>
        <a:stretch>
          <a:fillRect/>
        </a:stretch>
      </xdr:blipFill>
      <xdr:spPr>
        <a:xfrm>
          <a:off x="685800" y="168973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6" name="ID_301618875FC14340A2039B50372FAC42" descr="米尔伍德铠甲"/>
        <xdr:cNvPicPr>
          <a:picLocks noChangeAspect="1"/>
        </xdr:cNvPicPr>
      </xdr:nvPicPr>
      <xdr:blipFill>
        <a:blip r:embed="rId104" r:link="rId2"/>
        <a:stretch>
          <a:fillRect/>
        </a:stretch>
      </xdr:blipFill>
      <xdr:spPr>
        <a:xfrm>
          <a:off x="685800" y="16592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7" name="ID_D483B9D989E241F7AA653EDFD4B91FA0" descr="幽魂铠甲"/>
        <xdr:cNvPicPr>
          <a:picLocks noChangeAspect="1"/>
        </xdr:cNvPicPr>
      </xdr:nvPicPr>
      <xdr:blipFill>
        <a:blip r:embed="rId105" r:link="rId2"/>
        <a:stretch>
          <a:fillRect/>
        </a:stretch>
      </xdr:blipFill>
      <xdr:spPr>
        <a:xfrm>
          <a:off x="685800" y="16421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8" name="ID_B104BBB7B8D54644A1106E4879988A18" descr="修女长裙"/>
        <xdr:cNvPicPr>
          <a:picLocks noChangeAspect="1"/>
        </xdr:cNvPicPr>
      </xdr:nvPicPr>
      <xdr:blipFill>
        <a:blip r:embed="rId106" r:link="rId2"/>
        <a:stretch>
          <a:fillRect/>
        </a:stretch>
      </xdr:blipFill>
      <xdr:spPr>
        <a:xfrm>
          <a:off x="685800" y="162496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0" name="ID_8BE978AA0F66436B94148CC28F0BD65F" descr="维赫勒铠甲"/>
        <xdr:cNvPicPr>
          <a:picLocks noChangeAspect="1"/>
        </xdr:cNvPicPr>
      </xdr:nvPicPr>
      <xdr:blipFill>
        <a:blip r:embed="rId107" r:link="rId2"/>
        <a:stretch>
          <a:fillRect/>
        </a:stretch>
      </xdr:blipFill>
      <xdr:spPr>
        <a:xfrm>
          <a:off x="685800" y="15773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1" name="ID_94404DD31F72496B9BE7C93BF0BB6E1D" descr="卡露拉长袍"/>
        <xdr:cNvPicPr>
          <a:picLocks noChangeAspect="1"/>
        </xdr:cNvPicPr>
      </xdr:nvPicPr>
      <xdr:blipFill>
        <a:blip r:embed="rId108" r:link="rId2"/>
        <a:stretch>
          <a:fillRect/>
        </a:stretch>
      </xdr:blipFill>
      <xdr:spPr>
        <a:xfrm>
          <a:off x="685800" y="15601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2" name="ID_74A676C1A32246EEA6E02F74FCA02CEC" descr="古典礼服"/>
        <xdr:cNvPicPr>
          <a:picLocks noChangeAspect="1"/>
        </xdr:cNvPicPr>
      </xdr:nvPicPr>
      <xdr:blipFill>
        <a:blip r:embed="rId109" r:link="rId2"/>
        <a:stretch>
          <a:fillRect/>
        </a:stretch>
      </xdr:blipFill>
      <xdr:spPr>
        <a:xfrm>
          <a:off x="685800" y="15430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3" name="ID_3D55597218E34A0DAF4032C01AAA308E" descr="刺针铠甲"/>
        <xdr:cNvPicPr>
          <a:picLocks noChangeAspect="1"/>
        </xdr:cNvPicPr>
      </xdr:nvPicPr>
      <xdr:blipFill>
        <a:blip r:embed="rId110" r:link="rId2"/>
        <a:stretch>
          <a:fillRect/>
        </a:stretch>
      </xdr:blipFill>
      <xdr:spPr>
        <a:xfrm>
          <a:off x="685800" y="15259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4" name="ID_2042707EA1E847599294181B190A6694" descr="斯摩铠甲"/>
        <xdr:cNvPicPr>
          <a:picLocks noChangeAspect="1"/>
        </xdr:cNvPicPr>
      </xdr:nvPicPr>
      <xdr:blipFill>
        <a:blip r:embed="rId111" r:link="rId2"/>
        <a:stretch>
          <a:fillRect/>
        </a:stretch>
      </xdr:blipFill>
      <xdr:spPr>
        <a:xfrm>
          <a:off x="685800" y="15087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5" name="ID_6B7BA9C2463B4F5EA98EA04A7BB91398" descr="猎龙铠甲"/>
        <xdr:cNvPicPr>
          <a:picLocks noChangeAspect="1"/>
        </xdr:cNvPicPr>
      </xdr:nvPicPr>
      <xdr:blipFill>
        <a:blip r:embed="rId112" r:link="rId2"/>
        <a:stretch>
          <a:fillRect/>
        </a:stretch>
      </xdr:blipFill>
      <xdr:spPr>
        <a:xfrm>
          <a:off x="685800" y="14916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6" name="ID_2B574B4CA3DD4DE2B219E2F295A99650" descr="狼骑士铠甲"/>
        <xdr:cNvPicPr>
          <a:picLocks noChangeAspect="1"/>
        </xdr:cNvPicPr>
      </xdr:nvPicPr>
      <xdr:blipFill>
        <a:blip r:embed="rId113" r:link="rId2"/>
        <a:stretch>
          <a:fillRect/>
        </a:stretch>
      </xdr:blipFill>
      <xdr:spPr>
        <a:xfrm>
          <a:off x="685800" y="14744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7" name="ID_2341101A5F69493FA11A7463E5409F3B" descr="绘画使者长衣"/>
        <xdr:cNvPicPr>
          <a:picLocks noChangeAspect="1"/>
        </xdr:cNvPicPr>
      </xdr:nvPicPr>
      <xdr:blipFill>
        <a:blip r:embed="rId114" r:link="rId2"/>
        <a:stretch>
          <a:fillRect/>
        </a:stretch>
      </xdr:blipFill>
      <xdr:spPr>
        <a:xfrm>
          <a:off x="685800" y="14439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8" name="ID_3DB6C8948CB04D79B07BB09F6B4AA763" descr="黑铁铠甲"/>
        <xdr:cNvPicPr>
          <a:picLocks noChangeAspect="1"/>
        </xdr:cNvPicPr>
      </xdr:nvPicPr>
      <xdr:blipFill>
        <a:blip r:embed="rId115" r:link="rId2"/>
        <a:stretch>
          <a:fillRect/>
        </a:stretch>
      </xdr:blipFill>
      <xdr:spPr>
        <a:xfrm>
          <a:off x="685800" y="14268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9" name="ID_E54E900B98A046A7A8D74235B36F9B09" descr="多兰铠甲"/>
        <xdr:cNvPicPr>
          <a:picLocks noChangeAspect="1"/>
        </xdr:cNvPicPr>
      </xdr:nvPicPr>
      <xdr:blipFill>
        <a:blip r:embed="rId116" r:link="rId2"/>
        <a:stretch>
          <a:fillRect/>
        </a:stretch>
      </xdr:blipFill>
      <xdr:spPr>
        <a:xfrm>
          <a:off x="685800" y="14097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0" name="ID_680D22695FAB4E0BAD90359D000E6EA3" descr="龙血铠甲"/>
        <xdr:cNvPicPr>
          <a:picLocks noChangeAspect="1"/>
        </xdr:cNvPicPr>
      </xdr:nvPicPr>
      <xdr:blipFill>
        <a:blip r:embed="rId117" r:link="rId2"/>
        <a:stretch>
          <a:fillRect/>
        </a:stretch>
      </xdr:blipFill>
      <xdr:spPr>
        <a:xfrm>
          <a:off x="685800" y="13925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1" name="ID_48999307BC5B4B57B1158D23DC56AE1B" descr="太阳纹铠甲"/>
        <xdr:cNvPicPr>
          <a:picLocks noChangeAspect="1"/>
        </xdr:cNvPicPr>
      </xdr:nvPicPr>
      <xdr:blipFill>
        <a:blip r:embed="rId118" r:link="rId2"/>
        <a:stretch>
          <a:fillRect/>
        </a:stretch>
      </xdr:blipFill>
      <xdr:spPr>
        <a:xfrm>
          <a:off x="685800" y="13754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2" name="ID_66E5ECFA1BD843CC892F303981495D8E" descr="米勒背心"/>
        <xdr:cNvPicPr>
          <a:picLocks noChangeAspect="1"/>
        </xdr:cNvPicPr>
      </xdr:nvPicPr>
      <xdr:blipFill>
        <a:blip r:embed="rId119" r:link="rId2"/>
        <a:stretch>
          <a:fillRect/>
        </a:stretch>
      </xdr:blipFill>
      <xdr:spPr>
        <a:xfrm>
          <a:off x="685800" y="13582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3" name="ID_8DD347EEF4C941B8973903868DC2DE9E" descr="刺客铠甲"/>
        <xdr:cNvPicPr>
          <a:picLocks noChangeAspect="1"/>
        </xdr:cNvPicPr>
      </xdr:nvPicPr>
      <xdr:blipFill>
        <a:blip r:embed="rId120" r:link="rId2"/>
        <a:stretch>
          <a:fillRect/>
        </a:stretch>
      </xdr:blipFill>
      <xdr:spPr>
        <a:xfrm>
          <a:off x="685800" y="163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4" name="ID_30153976DBBC4E7D92F2721EAF6055A5" descr="黑手铠甲"/>
        <xdr:cNvPicPr>
          <a:picLocks noChangeAspect="1"/>
        </xdr:cNvPicPr>
      </xdr:nvPicPr>
      <xdr:blipFill>
        <a:blip r:embed="rId121" r:link="rId2"/>
        <a:stretch>
          <a:fillRect/>
        </a:stretch>
      </xdr:blipFill>
      <xdr:spPr>
        <a:xfrm>
          <a:off x="685800" y="146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5" name="ID_B2B69D82A2664D6984C408D96351E907" descr="薄暮铠甲"/>
        <xdr:cNvPicPr>
          <a:picLocks noChangeAspect="1"/>
        </xdr:cNvPicPr>
      </xdr:nvPicPr>
      <xdr:blipFill>
        <a:blip r:embed="rId122" r:link="rId2"/>
        <a:stretch>
          <a:fillRect/>
        </a:stretch>
      </xdr:blipFill>
      <xdr:spPr>
        <a:xfrm>
          <a:off x="685800" y="129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6" name="ID_0D66478050CD4B04B74DDC6A908D3408" descr="传令者铠甲"/>
        <xdr:cNvPicPr>
          <a:picLocks noChangeAspect="1"/>
        </xdr:cNvPicPr>
      </xdr:nvPicPr>
      <xdr:blipFill>
        <a:blip r:embed="rId123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7" name="ID_FCB45D708AC04AD48713112E0309EB3B" descr="佣兵铠甲"/>
        <xdr:cNvPicPr>
          <a:picLocks noChangeAspect="1"/>
        </xdr:cNvPicPr>
      </xdr:nvPicPr>
      <xdr:blipFill>
        <a:blip r:embed="rId124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8" name="ID_BF4B0AAE177F4632AB1AB28AA5457C51" descr="传火铠甲"/>
        <xdr:cNvPicPr>
          <a:picLocks noChangeAspect="1"/>
        </xdr:cNvPicPr>
      </xdr:nvPicPr>
      <xdr:blipFill>
        <a:blip r:embed="rId125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9" name="ID_B604F35FCD6B4FE486CC4B584C47A9EB" descr="亡命骑士铠甲"/>
        <xdr:cNvPicPr>
          <a:picLocks noChangeAspect="1"/>
        </xdr:cNvPicPr>
      </xdr:nvPicPr>
      <xdr:blipFill>
        <a:blip r:embed="rId126" r:link="rId2"/>
        <a:stretch>
          <a:fillRect/>
        </a:stretch>
      </xdr:blipFill>
      <xdr:spPr>
        <a:xfrm>
          <a:off x="685800" y="304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0" name="ID_259FA7120073477BB5FE446F97D2EB1E" descr="骑士铠甲"/>
        <xdr:cNvPicPr>
          <a:picLocks noChangeAspect="1"/>
        </xdr:cNvPicPr>
      </xdr:nvPicPr>
      <xdr:blipFill>
        <a:blip r:embed="rId127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1" name="ID_F2BFD323A7B544F9A6A8B6271C2490C0" descr="黄衣外套"/>
        <xdr:cNvPicPr>
          <a:picLocks noChangeAspect="1"/>
        </xdr:cNvPicPr>
      </xdr:nvPicPr>
      <xdr:blipFill>
        <a:blip r:embed="rId128" r:link="rId2"/>
        <a:stretch>
          <a:fillRect/>
        </a:stretch>
      </xdr:blipFill>
      <xdr:spPr>
        <a:xfrm>
          <a:off x="685800" y="1809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2" name="ID_C20ADEFCA7AD4DB7BF734D3817A1D8E6" descr="北方铠甲"/>
        <xdr:cNvPicPr>
          <a:picLocks noChangeAspect="1"/>
        </xdr:cNvPicPr>
      </xdr:nvPicPr>
      <xdr:blipFill>
        <a:blip r:embed="rId129" r:link="rId2"/>
        <a:stretch>
          <a:fillRect/>
        </a:stretch>
      </xdr:blipFill>
      <xdr:spPr>
        <a:xfrm>
          <a:off x="685800" y="1981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3" name="ID_CFE71B19275B481F97A5A86E82707C82" descr="摩恩铠甲"/>
        <xdr:cNvPicPr>
          <a:picLocks noChangeAspect="1"/>
        </xdr:cNvPicPr>
      </xdr:nvPicPr>
      <xdr:blipFill>
        <a:blip r:embed="rId130" r:link="rId2"/>
        <a:stretch>
          <a:fillRect/>
        </a:stretch>
      </xdr:blipFill>
      <xdr:spPr>
        <a:xfrm>
          <a:off x="685800" y="2152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4" name="ID_50D733C90BD14605B082E1AA5E90AFED" descr="李奥纳德外衣"/>
        <xdr:cNvPicPr>
          <a:picLocks noChangeAspect="1"/>
        </xdr:cNvPicPr>
      </xdr:nvPicPr>
      <xdr:blipFill>
        <a:blip r:embed="rId131" r:link="rId2"/>
        <a:stretch>
          <a:fillRect/>
        </a:stretch>
      </xdr:blipFill>
      <xdr:spPr>
        <a:xfrm>
          <a:off x="685800" y="2324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5" name="ID_3346DE4CB11041559B0608D2F14C62EB" descr="白影长袍"/>
        <xdr:cNvPicPr>
          <a:picLocks noChangeAspect="1"/>
        </xdr:cNvPicPr>
      </xdr:nvPicPr>
      <xdr:blipFill>
        <a:blip r:embed="rId132" r:link="rId2"/>
        <a:stretch>
          <a:fillRect/>
        </a:stretch>
      </xdr:blipFill>
      <xdr:spPr>
        <a:xfrm>
          <a:off x="685800" y="2628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6" name="ID_41DEFFD29A774A15862F5E63A0FC4847" descr="黄昏铠甲"/>
        <xdr:cNvPicPr>
          <a:picLocks noChangeAspect="1"/>
        </xdr:cNvPicPr>
      </xdr:nvPicPr>
      <xdr:blipFill>
        <a:blip r:embed="rId133" r:link="rId2"/>
        <a:stretch>
          <a:fillRect/>
        </a:stretch>
      </xdr:blipFill>
      <xdr:spPr>
        <a:xfrm>
          <a:off x="685800" y="2800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7" name="ID_2F05FC2488D44E34837E8249ED805997" descr="柯弭库斯外衣"/>
        <xdr:cNvPicPr>
          <a:picLocks noChangeAspect="1"/>
        </xdr:cNvPicPr>
      </xdr:nvPicPr>
      <xdr:blipFill>
        <a:blip r:embed="rId134" r:link="rId2"/>
        <a:stretch>
          <a:fillRect/>
        </a:stretch>
      </xdr:blipFill>
      <xdr:spPr>
        <a:xfrm>
          <a:off x="685800" y="2971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8" name="ID_48A4F9F548C5435C9E74680C17CB317C" descr="处刑者铠甲"/>
        <xdr:cNvPicPr>
          <a:picLocks noChangeAspect="1"/>
        </xdr:cNvPicPr>
      </xdr:nvPicPr>
      <xdr:blipFill>
        <a:blip r:embed="rId135" r:link="rId2"/>
        <a:stretch>
          <a:fillRect/>
        </a:stretch>
      </xdr:blipFill>
      <xdr:spPr>
        <a:xfrm>
          <a:off x="685800" y="3276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9" name="ID_DAD71FCA37F549798BBFB78E57CE371A" descr="黑色长裙"/>
        <xdr:cNvPicPr>
          <a:picLocks noChangeAspect="1"/>
        </xdr:cNvPicPr>
      </xdr:nvPicPr>
      <xdr:blipFill>
        <a:blip r:embed="rId136" r:link="rId2"/>
        <a:stretch>
          <a:fillRect/>
        </a:stretch>
      </xdr:blipFill>
      <xdr:spPr>
        <a:xfrm>
          <a:off x="685800" y="3448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0" name="ID_19897BCCACC54326A4B00E5867E7D570" descr="咒术师外衣"/>
        <xdr:cNvPicPr>
          <a:picLocks noChangeAspect="1"/>
        </xdr:cNvPicPr>
      </xdr:nvPicPr>
      <xdr:blipFill>
        <a:blip r:embed="rId137" r:link="rId2"/>
        <a:stretch>
          <a:fillRect/>
        </a:stretch>
      </xdr:blipFill>
      <xdr:spPr>
        <a:xfrm>
          <a:off x="685800" y="3619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1" name="ID_52E210F3AA194E468F8449984515BD31" descr="宫廷魔法师长袍"/>
        <xdr:cNvPicPr>
          <a:picLocks noChangeAspect="1"/>
        </xdr:cNvPicPr>
      </xdr:nvPicPr>
      <xdr:blipFill>
        <a:blip r:embed="rId138" r:link="rId2"/>
        <a:stretch>
          <a:fillRect/>
        </a:stretch>
      </xdr:blipFill>
      <xdr:spPr>
        <a:xfrm>
          <a:off x="685800" y="3790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2" name="ID_D0DB57D6094D47C39BC6578AD317C9F7" descr="魔法师长袍"/>
        <xdr:cNvPicPr>
          <a:picLocks noChangeAspect="1"/>
        </xdr:cNvPicPr>
      </xdr:nvPicPr>
      <xdr:blipFill>
        <a:blip r:embed="rId139" r:link="rId2"/>
        <a:stretch>
          <a:fillRect/>
        </a:stretch>
      </xdr:blipFill>
      <xdr:spPr>
        <a:xfrm>
          <a:off x="685800" y="40957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3" name="ID_509003D5ACDE4F71A74B6CBDDF9BA15B" descr="密探大衣"/>
        <xdr:cNvPicPr>
          <a:picLocks noChangeAspect="1"/>
        </xdr:cNvPicPr>
      </xdr:nvPicPr>
      <xdr:blipFill>
        <a:blip r:embed="rId140" r:link="rId2"/>
        <a:stretch>
          <a:fillRect/>
        </a:stretch>
      </xdr:blipFill>
      <xdr:spPr>
        <a:xfrm>
          <a:off x="685800" y="42672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4" name="ID_8834E16A51FB47188A1D7B8224B00DCF" descr="圣职蓝袍"/>
        <xdr:cNvPicPr>
          <a:picLocks noChangeAspect="1"/>
        </xdr:cNvPicPr>
      </xdr:nvPicPr>
      <xdr:blipFill>
        <a:blip r:embed="rId141" r:link="rId2"/>
        <a:stretch>
          <a:fillRect/>
        </a:stretch>
      </xdr:blipFill>
      <xdr:spPr>
        <a:xfrm>
          <a:off x="685800" y="44386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5" name="ID_05B8975AF15940F6A2250E06382B2125" descr="亡命士兵铠甲"/>
        <xdr:cNvPicPr>
          <a:picLocks noChangeAspect="1"/>
        </xdr:cNvPicPr>
      </xdr:nvPicPr>
      <xdr:blipFill>
        <a:blip r:embed="rId142" r:link="rId2"/>
        <a:stretch>
          <a:fillRect/>
        </a:stretch>
      </xdr:blipFill>
      <xdr:spPr>
        <a:xfrm>
          <a:off x="685800" y="4610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6" name="ID_A32801D7F91B431CB667D338B4C2B015" descr="狱卒长袍"/>
        <xdr:cNvPicPr>
          <a:picLocks noChangeAspect="1"/>
        </xdr:cNvPicPr>
      </xdr:nvPicPr>
      <xdr:blipFill>
        <a:blip r:embed="rId143" r:link="rId2"/>
        <a:stretch>
          <a:fillRect/>
        </a:stretch>
      </xdr:blipFill>
      <xdr:spPr>
        <a:xfrm>
          <a:off x="685800" y="4914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7" name="ID_7221605B2D1D4C4DA2C121F3D3C86848" descr="守墓人长袍"/>
        <xdr:cNvPicPr>
          <a:picLocks noChangeAspect="1"/>
        </xdr:cNvPicPr>
      </xdr:nvPicPr>
      <xdr:blipFill>
        <a:blip r:embed="rId144" r:link="rId2"/>
        <a:stretch>
          <a:fillRect/>
        </a:stretch>
      </xdr:blipFill>
      <xdr:spPr>
        <a:xfrm>
          <a:off x="685800" y="5086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8" name="ID_ABF0E09782234C74841A59365678B581" descr="工作用衣服"/>
        <xdr:cNvPicPr>
          <a:picLocks noChangeAspect="1"/>
        </xdr:cNvPicPr>
      </xdr:nvPicPr>
      <xdr:blipFill>
        <a:blip r:embed="rId145" r:link="rId2"/>
        <a:stretch>
          <a:fillRect/>
        </a:stretch>
      </xdr:blipFill>
      <xdr:spPr>
        <a:xfrm>
          <a:off x="685800" y="5257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9" name="ID_11DC1A51705C461090E0BD0FE69D215D" descr="导师长袍"/>
        <xdr:cNvPicPr>
          <a:picLocks noChangeAspect="1"/>
        </xdr:cNvPicPr>
      </xdr:nvPicPr>
      <xdr:blipFill>
        <a:blip r:embed="rId146" r:link="rId2"/>
        <a:stretch>
          <a:fillRect/>
        </a:stretch>
      </xdr:blipFill>
      <xdr:spPr>
        <a:xfrm>
          <a:off x="685800" y="5429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0" name="ID_E0A148458C1A48FAB9A1C9C9A9B0A0BF" descr="贤者长袍"/>
        <xdr:cNvPicPr>
          <a:picLocks noChangeAspect="1"/>
        </xdr:cNvPicPr>
      </xdr:nvPicPr>
      <xdr:blipFill>
        <a:blip r:embed="rId147" r:link="rId2"/>
        <a:stretch>
          <a:fillRect/>
        </a:stretch>
      </xdr:blipFill>
      <xdr:spPr>
        <a:xfrm>
          <a:off x="685800" y="5600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1" name="ID_0984D27806614451BA32DA0A8D3F507D" descr="羽翼骑士铠甲"/>
        <xdr:cNvPicPr>
          <a:picLocks noChangeAspect="1"/>
        </xdr:cNvPicPr>
      </xdr:nvPicPr>
      <xdr:blipFill>
        <a:blip r:embed="rId148" r:link="rId2"/>
        <a:stretch>
          <a:fillRect/>
        </a:stretch>
      </xdr:blipFill>
      <xdr:spPr>
        <a:xfrm>
          <a:off x="685800" y="5772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2" name="ID_9E4C1CD57E174355B910737471821DE4" descr="教堂骑士铠甲"/>
        <xdr:cNvPicPr>
          <a:picLocks noChangeAspect="1"/>
        </xdr:cNvPicPr>
      </xdr:nvPicPr>
      <xdr:blipFill>
        <a:blip r:embed="rId149" r:link="rId2"/>
        <a:stretch>
          <a:fillRect/>
        </a:stretch>
      </xdr:blipFill>
      <xdr:spPr>
        <a:xfrm>
          <a:off x="685800" y="6076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3" name="ID_701D46748225475EA5A70EB5539D296A" descr="洛斯里克骑士铠甲"/>
        <xdr:cNvPicPr>
          <a:picLocks noChangeAspect="1"/>
        </xdr:cNvPicPr>
      </xdr:nvPicPr>
      <xdr:blipFill>
        <a:blip r:embed="rId150" r:link="rId2"/>
        <a:stretch>
          <a:fillRect/>
        </a:stretch>
      </xdr:blipFill>
      <xdr:spPr>
        <a:xfrm>
          <a:off x="685800" y="6381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4" name="ID_6A13D31DB8254CC0BE92B4786410CDC7" descr="征战骑士铠甲"/>
        <xdr:cNvPicPr>
          <a:picLocks noChangeAspect="1"/>
        </xdr:cNvPicPr>
      </xdr:nvPicPr>
      <xdr:blipFill>
        <a:blip r:embed="rId151" r:link="rId2"/>
        <a:stretch>
          <a:fillRect/>
        </a:stretch>
      </xdr:blipFill>
      <xdr:spPr>
        <a:xfrm>
          <a:off x="685800" y="6686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5" name="ID_73527D147F5C400D900B40E625E1010B" descr="黑骑士铠甲"/>
        <xdr:cNvPicPr>
          <a:picLocks noChangeAspect="1"/>
        </xdr:cNvPicPr>
      </xdr:nvPicPr>
      <xdr:blipFill>
        <a:blip r:embed="rId152" r:link="rId2"/>
        <a:stretch>
          <a:fillRect/>
        </a:stretch>
      </xdr:blipFill>
      <xdr:spPr>
        <a:xfrm>
          <a:off x="685800" y="6991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6" name="ID_F93052AE59844B65A9166040612C86F1" descr="流放者铠甲"/>
        <xdr:cNvPicPr>
          <a:picLocks noChangeAspect="1"/>
        </xdr:cNvPicPr>
      </xdr:nvPicPr>
      <xdr:blipFill>
        <a:blip r:embed="rId153" r:link="rId2"/>
        <a:stretch>
          <a:fillRect/>
        </a:stretch>
      </xdr:blipFill>
      <xdr:spPr>
        <a:xfrm>
          <a:off x="685800" y="7162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7" name="ID_DB4C4DA6C34A4A2AA78E6FA8D6686D45" descr="教宗骑士铠甲"/>
        <xdr:cNvPicPr>
          <a:picLocks noChangeAspect="1"/>
        </xdr:cNvPicPr>
      </xdr:nvPicPr>
      <xdr:blipFill>
        <a:blip r:embed="rId154" r:link="rId2"/>
        <a:stretch>
          <a:fillRect/>
        </a:stretch>
      </xdr:blipFill>
      <xdr:spPr>
        <a:xfrm>
          <a:off x="685800" y="7334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8" name="ID_6A8526A7F266469D8AF8B76F04D59CC6" descr="龙鳞铠甲"/>
        <xdr:cNvPicPr>
          <a:picLocks noChangeAspect="1"/>
        </xdr:cNvPicPr>
      </xdr:nvPicPr>
      <xdr:blipFill>
        <a:blip r:embed="rId155" r:link="rId2"/>
        <a:stretch>
          <a:fillRect/>
        </a:stretch>
      </xdr:blipFill>
      <xdr:spPr>
        <a:xfrm>
          <a:off x="685800" y="7639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9" name="ID_7AD60522D4F64B689B59536856C080CC" descr="不死队铠甲"/>
        <xdr:cNvPicPr>
          <a:picLocks noChangeAspect="1"/>
        </xdr:cNvPicPr>
      </xdr:nvPicPr>
      <xdr:blipFill>
        <a:blip r:embed="rId156" r:link="rId2"/>
        <a:stretch>
          <a:fillRect/>
        </a:stretch>
      </xdr:blipFill>
      <xdr:spPr>
        <a:xfrm>
          <a:off x="685800" y="7810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0" name="ID_DEC6F0D416374C289109A54AEEF19128" descr="火焰魔女铠甲"/>
        <xdr:cNvPicPr>
          <a:picLocks noChangeAspect="1"/>
        </xdr:cNvPicPr>
      </xdr:nvPicPr>
      <xdr:blipFill>
        <a:blip r:embed="rId157" r:link="rId2"/>
        <a:stretch>
          <a:fillRect/>
        </a:stretch>
      </xdr:blipFill>
      <xdr:spPr>
        <a:xfrm>
          <a:off x="685800" y="7981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1" name="ID_1F9AABF1640645D79DFC63C4550921B4" descr="洛里安铠甲"/>
        <xdr:cNvPicPr>
          <a:picLocks noChangeAspect="1"/>
        </xdr:cNvPicPr>
      </xdr:nvPicPr>
      <xdr:blipFill>
        <a:blip r:embed="rId158" r:link="rId2"/>
        <a:stretch>
          <a:fillRect/>
        </a:stretch>
      </xdr:blipFill>
      <xdr:spPr>
        <a:xfrm>
          <a:off x="685800" y="8286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2" name="ID_73E3B633E6EA42E3BC20FED13402C2E5" descr="祈祷长袍"/>
        <xdr:cNvPicPr>
          <a:picLocks noChangeAspect="1"/>
        </xdr:cNvPicPr>
      </xdr:nvPicPr>
      <xdr:blipFill>
        <a:blip r:embed="rId159" r:link="rId2"/>
        <a:stretch>
          <a:fillRect/>
        </a:stretch>
      </xdr:blipFill>
      <xdr:spPr>
        <a:xfrm>
          <a:off x="685800" y="8458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3" name="ID_788C66DE7EDF4684873F6F3F60F411CB" descr="舞娘铠甲"/>
        <xdr:cNvPicPr>
          <a:picLocks noChangeAspect="1"/>
        </xdr:cNvPicPr>
      </xdr:nvPicPr>
      <xdr:blipFill>
        <a:blip r:embed="rId160" r:link="rId2"/>
        <a:stretch>
          <a:fillRect/>
        </a:stretch>
      </xdr:blipFill>
      <xdr:spPr>
        <a:xfrm>
          <a:off x="685800" y="8629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4" name="ID_0AF4589F5626414892E0815E0CF3A6D5" descr="古达铠甲"/>
        <xdr:cNvPicPr>
          <a:picLocks noChangeAspect="1"/>
        </xdr:cNvPicPr>
      </xdr:nvPicPr>
      <xdr:blipFill>
        <a:blip r:embed="rId161" r:link="rId2"/>
        <a:stretch>
          <a:fillRect/>
        </a:stretch>
      </xdr:blipFill>
      <xdr:spPr>
        <a:xfrm>
          <a:off x="685800" y="8801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5" name="ID_D28B812E067549C58406DBDF0A999CD7" descr="大主教圣衣"/>
        <xdr:cNvPicPr>
          <a:picLocks noChangeAspect="1"/>
        </xdr:cNvPicPr>
      </xdr:nvPicPr>
      <xdr:blipFill>
        <a:blip r:embed="rId162" r:link="rId2"/>
        <a:stretch>
          <a:fillRect/>
        </a:stretch>
      </xdr:blipFill>
      <xdr:spPr>
        <a:xfrm>
          <a:off x="685800" y="8972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6" name="ID_B6639A1B529E4EE893581C97A013424F" descr="主教长袍"/>
        <xdr:cNvPicPr>
          <a:picLocks noChangeAspect="1"/>
        </xdr:cNvPicPr>
      </xdr:nvPicPr>
      <xdr:blipFill>
        <a:blip r:embed="rId163" r:link="rId2"/>
        <a:stretch>
          <a:fillRect/>
        </a:stretch>
      </xdr:blipFill>
      <xdr:spPr>
        <a:xfrm>
          <a:off x="685800" y="9144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7" name="ID_3540157313554424BE677D9C6D32E979" descr="防火女长袍"/>
        <xdr:cNvPicPr>
          <a:picLocks noChangeAspect="1"/>
        </xdr:cNvPicPr>
      </xdr:nvPicPr>
      <xdr:blipFill>
        <a:blip r:embed="rId164" r:link="rId2"/>
        <a:stretch>
          <a:fillRect/>
        </a:stretch>
      </xdr:blipFill>
      <xdr:spPr>
        <a:xfrm>
          <a:off x="685800" y="9315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8" name="ID_C8AC39F39A3A45D6953448F6250BED5A" descr="锁子铠甲"/>
        <xdr:cNvPicPr>
          <a:picLocks noChangeAspect="1"/>
        </xdr:cNvPicPr>
      </xdr:nvPicPr>
      <xdr:blipFill>
        <a:blip r:embed="rId165" r:link="rId2"/>
        <a:stretch>
          <a:fillRect/>
        </a:stretch>
      </xdr:blipFill>
      <xdr:spPr>
        <a:xfrm>
          <a:off x="685800" y="94869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9" name="ID_B74D7520BA9D47AB9EAB927D2F6022A9" descr="无名骑士铠甲"/>
        <xdr:cNvPicPr>
          <a:picLocks noChangeAspect="1"/>
        </xdr:cNvPicPr>
      </xdr:nvPicPr>
      <xdr:blipFill>
        <a:blip r:embed="rId166" r:link="rId2"/>
        <a:stretch>
          <a:fillRect/>
        </a:stretch>
      </xdr:blipFill>
      <xdr:spPr>
        <a:xfrm>
          <a:off x="685800" y="9658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0" name="ID_5C7DC8581BAC4B638A7180AEFA469F72" descr="上级骑士铠甲"/>
        <xdr:cNvPicPr>
          <a:picLocks noChangeAspect="1"/>
        </xdr:cNvPicPr>
      </xdr:nvPicPr>
      <xdr:blipFill>
        <a:blip r:embed="rId167" r:link="rId2"/>
        <a:stretch>
          <a:fillRect/>
        </a:stretch>
      </xdr:blipFill>
      <xdr:spPr>
        <a:xfrm>
          <a:off x="685800" y="9963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1" name="ID_E34A5BB0F9E7403B9077CEB1044FA66D" descr="法汉铠甲"/>
        <xdr:cNvPicPr>
          <a:picLocks noChangeAspect="1"/>
        </xdr:cNvPicPr>
      </xdr:nvPicPr>
      <xdr:blipFill>
        <a:blip r:embed="rId168" r:link="rId2"/>
        <a:stretch>
          <a:fillRect/>
        </a:stretch>
      </xdr:blipFill>
      <xdr:spPr>
        <a:xfrm>
          <a:off x="685800" y="10267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2" name="ID_C4805DADBF5B4EC7BEE994A6E1610054" descr="卡塔利纳护甲"/>
        <xdr:cNvPicPr>
          <a:picLocks noChangeAspect="1"/>
        </xdr:cNvPicPr>
      </xdr:nvPicPr>
      <xdr:blipFill>
        <a:blip r:embed="rId169" r:link="rId2"/>
        <a:stretch>
          <a:fillRect/>
        </a:stretch>
      </xdr:blipFill>
      <xdr:spPr>
        <a:xfrm>
          <a:off x="685800" y="10439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3" name="ID_2A4910E4945C470284C8E6E8BE9F5FEB" descr="哈维尔铠甲"/>
        <xdr:cNvPicPr>
          <a:picLocks noChangeAspect="1"/>
        </xdr:cNvPicPr>
      </xdr:nvPicPr>
      <xdr:blipFill>
        <a:blip r:embed="rId170" r:link="rId2"/>
        <a:stretch>
          <a:fillRect/>
        </a:stretch>
      </xdr:blipFill>
      <xdr:spPr>
        <a:xfrm>
          <a:off x="685800" y="10744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4" name="ID_38A63762B07F4809863DF05C688D7698" descr="山贼铠甲"/>
        <xdr:cNvPicPr>
          <a:picLocks noChangeAspect="1"/>
        </xdr:cNvPicPr>
      </xdr:nvPicPr>
      <xdr:blipFill>
        <a:blip r:embed="rId171" r:link="rId2"/>
        <a:stretch>
          <a:fillRect/>
        </a:stretch>
      </xdr:blipFill>
      <xdr:spPr>
        <a:xfrm>
          <a:off x="685800" y="109156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5" name="ID_44D1250347F84E7397375D7BDDCBCF28" descr="皮护甲"/>
        <xdr:cNvPicPr>
          <a:picLocks noChangeAspect="1"/>
        </xdr:cNvPicPr>
      </xdr:nvPicPr>
      <xdr:blipFill>
        <a:blip r:embed="rId172" r:link="rId2"/>
        <a:stretch>
          <a:fillRect/>
        </a:stretch>
      </xdr:blipFill>
      <xdr:spPr>
        <a:xfrm>
          <a:off x="685800" y="110871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6" name="ID_FFBD057909AC483BB433D0BDA6129FC7" descr="专家衣服"/>
        <xdr:cNvPicPr>
          <a:picLocks noChangeAspect="1"/>
        </xdr:cNvPicPr>
      </xdr:nvPicPr>
      <xdr:blipFill>
        <a:blip r:embed="rId173" r:link="rId2"/>
        <a:stretch>
          <a:fillRect/>
        </a:stretch>
      </xdr:blipFill>
      <xdr:spPr>
        <a:xfrm>
          <a:off x="685800" y="112585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7" name="ID_570BE3261974460583A46F44BCDFC798" descr="古老魔法师大衣"/>
        <xdr:cNvPicPr>
          <a:picLocks noChangeAspect="1"/>
        </xdr:cNvPicPr>
      </xdr:nvPicPr>
      <xdr:blipFill>
        <a:blip r:embed="rId174" r:link="rId2"/>
        <a:stretch>
          <a:fillRect/>
        </a:stretch>
      </xdr:blipFill>
      <xdr:spPr>
        <a:xfrm>
          <a:off x="685800" y="114300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8" name="ID_2F30E963F8F44354BCF4B8FC2ECD9BB5" descr="诅咒师长袍"/>
        <xdr:cNvPicPr>
          <a:picLocks noChangeAspect="1"/>
        </xdr:cNvPicPr>
      </xdr:nvPicPr>
      <xdr:blipFill>
        <a:blip r:embed="rId175" r:link="rId2"/>
        <a:stretch>
          <a:fillRect/>
        </a:stretch>
      </xdr:blipFill>
      <xdr:spPr>
        <a:xfrm>
          <a:off x="685800" y="117348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9" name="ID_C474CB840A974396B07B7A7CD0AA2B31" descr="黑皮铠甲"/>
        <xdr:cNvPicPr>
          <a:picLocks noChangeAspect="1"/>
        </xdr:cNvPicPr>
      </xdr:nvPicPr>
      <xdr:blipFill>
        <a:blip r:embed="rId176" r:link="rId2"/>
        <a:stretch>
          <a:fillRect/>
        </a:stretch>
      </xdr:blipFill>
      <xdr:spPr>
        <a:xfrm>
          <a:off x="685800" y="119062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0" name="ID_DCA4FA99FE044B5FB35DE229E6E4F227" descr="米勒锁子甲"/>
        <xdr:cNvPicPr>
          <a:picLocks noChangeAspect="1"/>
        </xdr:cNvPicPr>
      </xdr:nvPicPr>
      <xdr:blipFill>
        <a:blip r:embed="rId177" r:link="rId2"/>
        <a:stretch>
          <a:fillRect/>
        </a:stretch>
      </xdr:blipFill>
      <xdr:spPr>
        <a:xfrm>
          <a:off x="685800" y="12077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1" name="ID_60622E7740984C68A849C865CB895494" descr="圣女外衣"/>
        <xdr:cNvPicPr>
          <a:picLocks noChangeAspect="1"/>
        </xdr:cNvPicPr>
      </xdr:nvPicPr>
      <xdr:blipFill>
        <a:blip r:embed="rId178" r:link="rId2"/>
        <a:stretch>
          <a:fillRect/>
        </a:stretch>
      </xdr:blipFill>
      <xdr:spPr>
        <a:xfrm>
          <a:off x="685800" y="12249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2" name="ID_165DF20CFC084CE581C5CD183C61E373" descr="亚瓦铠甲"/>
        <xdr:cNvPicPr>
          <a:picLocks noChangeAspect="1"/>
        </xdr:cNvPicPr>
      </xdr:nvPicPr>
      <xdr:blipFill>
        <a:blip r:embed="rId179" r:link="rId2"/>
        <a:stretch>
          <a:fillRect/>
        </a:stretch>
      </xdr:blipFill>
      <xdr:spPr>
        <a:xfrm>
          <a:off x="685800" y="12420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3" name="ID_8A8097E9BE4747ACBBADE802A87E0EAB" descr="黑影外衣"/>
        <xdr:cNvPicPr>
          <a:picLocks noChangeAspect="1"/>
        </xdr:cNvPicPr>
      </xdr:nvPicPr>
      <xdr:blipFill>
        <a:blip r:embed="rId180" r:link="rId2"/>
        <a:stretch>
          <a:fillRect/>
        </a:stretch>
      </xdr:blipFill>
      <xdr:spPr>
        <a:xfrm>
          <a:off x="685800" y="125920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4" name="ID_6B1554A6AEEA4264B2EA519B2674051E" descr="东方铠甲"/>
        <xdr:cNvPicPr>
          <a:picLocks noChangeAspect="1"/>
        </xdr:cNvPicPr>
      </xdr:nvPicPr>
      <xdr:blipFill>
        <a:blip r:embed="rId181" r:link="rId2"/>
        <a:stretch>
          <a:fillRect/>
        </a:stretch>
      </xdr:blipFill>
      <xdr:spPr>
        <a:xfrm>
          <a:off x="685800" y="12763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5" name="ID_72B09FBD05CF4ED087F578CE952E244E" descr="宠爱的拥抱铠甲"/>
        <xdr:cNvPicPr>
          <a:picLocks noChangeAspect="1"/>
        </xdr:cNvPicPr>
      </xdr:nvPicPr>
      <xdr:blipFill>
        <a:blip r:embed="rId182" r:link="rId2"/>
        <a:stretch>
          <a:fillRect/>
        </a:stretch>
      </xdr:blipFill>
      <xdr:spPr>
        <a:xfrm>
          <a:off x="685800" y="12934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6" name="ID_FE48B253B3B940448CC6956FC32C3EB3" descr="黄铜铠甲"/>
        <xdr:cNvPicPr>
          <a:picLocks noChangeAspect="1"/>
        </xdr:cNvPicPr>
      </xdr:nvPicPr>
      <xdr:blipFill>
        <a:blip r:embed="rId183" r:link="rId2"/>
        <a:stretch>
          <a:fillRect/>
        </a:stretch>
      </xdr:blipFill>
      <xdr:spPr>
        <a:xfrm>
          <a:off x="685800" y="13239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7" name="ID_29E5B12799EF407BB6E82B9AE6973FB9" descr="黑魔女腕套"/>
        <xdr:cNvPicPr>
          <a:picLocks noChangeAspect="1"/>
        </xdr:cNvPicPr>
      </xdr:nvPicPr>
      <xdr:blipFill>
        <a:blip r:embed="rId184" r:link="rId2"/>
        <a:stretch>
          <a:fillRect/>
        </a:stretch>
      </xdr:blipFill>
      <xdr:spPr>
        <a:xfrm>
          <a:off x="685800" y="17335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8" name="ID_1C71F0FA4D434FB2AE73E51512BE0155" descr="沙之咒术师手套"/>
        <xdr:cNvPicPr>
          <a:picLocks noChangeAspect="1"/>
        </xdr:cNvPicPr>
      </xdr:nvPicPr>
      <xdr:blipFill>
        <a:blip r:embed="rId185" r:link="rId2"/>
        <a:stretch>
          <a:fillRect/>
        </a:stretch>
      </xdr:blipFill>
      <xdr:spPr>
        <a:xfrm>
          <a:off x="685800" y="17030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9" name="ID_506A9625212B4503BBB739BFF0B74C55" descr="虚空臂甲"/>
        <xdr:cNvPicPr>
          <a:picLocks noChangeAspect="1"/>
        </xdr:cNvPicPr>
      </xdr:nvPicPr>
      <xdr:blipFill>
        <a:blip r:embed="rId186" r:link="rId2"/>
        <a:stretch>
          <a:fillRect/>
        </a:stretch>
      </xdr:blipFill>
      <xdr:spPr>
        <a:xfrm>
          <a:off x="685800" y="16859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0" name="ID_3C11DB7B288B4A3BA0DCC3BC1211E456" descr="镕铁猎龙臂甲"/>
        <xdr:cNvPicPr>
          <a:picLocks noChangeAspect="1"/>
        </xdr:cNvPicPr>
      </xdr:nvPicPr>
      <xdr:blipFill>
        <a:blip r:embed="rId187" r:link="rId2"/>
        <a:stretch>
          <a:fillRect/>
        </a:stretch>
      </xdr:blipFill>
      <xdr:spPr>
        <a:xfrm>
          <a:off x="685800" y="16554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1" name="ID_5D74147C3EBB4FB8A4BD7B5AA2FE0F79" descr="哈兰得臂甲"/>
        <xdr:cNvPicPr>
          <a:picLocks noChangeAspect="1"/>
        </xdr:cNvPicPr>
      </xdr:nvPicPr>
      <xdr:blipFill>
        <a:blip r:embed="rId188" r:link="rId2"/>
        <a:stretch>
          <a:fillRect/>
        </a:stretch>
      </xdr:blipFill>
      <xdr:spPr>
        <a:xfrm>
          <a:off x="685800" y="16383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2" name="ID_7B83690764704344833A9F368DFB86F9" descr="环印骑士臂甲"/>
        <xdr:cNvPicPr>
          <a:picLocks noChangeAspect="1"/>
        </xdr:cNvPicPr>
      </xdr:nvPicPr>
      <xdr:blipFill>
        <a:blip r:embed="rId189" r:link="rId2"/>
        <a:stretch>
          <a:fillRect/>
        </a:stretch>
      </xdr:blipFill>
      <xdr:spPr>
        <a:xfrm>
          <a:off x="685800" y="16078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3" name="ID_F3C9996A7B9C42F4A739CF04163CF930" descr="拉普臂甲"/>
        <xdr:cNvPicPr>
          <a:picLocks noChangeAspect="1"/>
        </xdr:cNvPicPr>
      </xdr:nvPicPr>
      <xdr:blipFill>
        <a:blip r:embed="rId190" r:link="rId2"/>
        <a:stretch>
          <a:fillRect/>
        </a:stretch>
      </xdr:blipFill>
      <xdr:spPr>
        <a:xfrm>
          <a:off x="685800" y="15906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4" name="ID_4557B33D22A4448FABDB05BF8C6C142B" descr="希拉手套"/>
        <xdr:cNvPicPr>
          <a:picLocks noChangeAspect="1"/>
        </xdr:cNvPicPr>
      </xdr:nvPicPr>
      <xdr:blipFill>
        <a:blip r:embed="rId191" r:link="rId2"/>
        <a:stretch>
          <a:fillRect/>
        </a:stretch>
      </xdr:blipFill>
      <xdr:spPr>
        <a:xfrm>
          <a:off x="685800" y="15735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5" name="ID_1C1CCB84293343D8AFDF66F8ADBC4B20" descr="紫布腕套"/>
        <xdr:cNvPicPr>
          <a:picLocks noChangeAspect="1"/>
        </xdr:cNvPicPr>
      </xdr:nvPicPr>
      <xdr:blipFill>
        <a:blip r:embed="rId192" r:link="rId2"/>
        <a:stretch>
          <a:fillRect/>
        </a:stretch>
      </xdr:blipFill>
      <xdr:spPr>
        <a:xfrm>
          <a:off x="685800" y="15563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6" name="ID_CB054BF1412E413797AE3F6FD736C827" descr="米尔伍德臂甲"/>
        <xdr:cNvPicPr>
          <a:picLocks noChangeAspect="1"/>
        </xdr:cNvPicPr>
      </xdr:nvPicPr>
      <xdr:blipFill>
        <a:blip r:embed="rId193" r:link="rId2"/>
        <a:stretch>
          <a:fillRect/>
        </a:stretch>
      </xdr:blipFill>
      <xdr:spPr>
        <a:xfrm>
          <a:off x="685800" y="15259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7" name="ID_867EB28031C94C88BB99BFD72D8FCBF1" descr="幽魂手套"/>
        <xdr:cNvPicPr>
          <a:picLocks noChangeAspect="1"/>
        </xdr:cNvPicPr>
      </xdr:nvPicPr>
      <xdr:blipFill>
        <a:blip r:embed="rId194" r:link="rId2"/>
        <a:stretch>
          <a:fillRect/>
        </a:stretch>
      </xdr:blipFill>
      <xdr:spPr>
        <a:xfrm>
          <a:off x="685800" y="15087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8" name="ID_D06B9F4ACE43470E84A137F297E8A7A5" descr="奴隶骑士臂甲"/>
        <xdr:cNvPicPr>
          <a:picLocks noChangeAspect="1"/>
        </xdr:cNvPicPr>
      </xdr:nvPicPr>
      <xdr:blipFill>
        <a:blip r:embed="rId195" r:link="rId2"/>
        <a:stretch>
          <a:fillRect/>
        </a:stretch>
      </xdr:blipFill>
      <xdr:spPr>
        <a:xfrm>
          <a:off x="685800" y="14782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9" name="ID_FD4E150758F94A7DAF445B817A9194D4" descr="维赫勒臂甲"/>
        <xdr:cNvPicPr>
          <a:picLocks noChangeAspect="1"/>
        </xdr:cNvPicPr>
      </xdr:nvPicPr>
      <xdr:blipFill>
        <a:blip r:embed="rId196" r:link="rId2"/>
        <a:stretch>
          <a:fillRect/>
        </a:stretch>
      </xdr:blipFill>
      <xdr:spPr>
        <a:xfrm>
          <a:off x="685800" y="14611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0" name="ID_F273752EA9F24863AF19F074021B3AC9" descr="卡露拉手套"/>
        <xdr:cNvPicPr>
          <a:picLocks noChangeAspect="1"/>
        </xdr:cNvPicPr>
      </xdr:nvPicPr>
      <xdr:blipFill>
        <a:blip r:embed="rId197" r:link="rId2"/>
        <a:stretch>
          <a:fillRect/>
        </a:stretch>
      </xdr:blipFill>
      <xdr:spPr>
        <a:xfrm>
          <a:off x="685800" y="14439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1" name="ID_7061D05ADE614165968A65C0088457E8" descr="古典长手套"/>
        <xdr:cNvPicPr>
          <a:picLocks noChangeAspect="1"/>
        </xdr:cNvPicPr>
      </xdr:nvPicPr>
      <xdr:blipFill>
        <a:blip r:embed="rId198" r:link="rId2"/>
        <a:stretch>
          <a:fillRect/>
        </a:stretch>
      </xdr:blipFill>
      <xdr:spPr>
        <a:xfrm>
          <a:off x="685800" y="14268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2" name="ID_D5A1B8BC820A4A68999AE38507ECB49D" descr="刺针臂甲"/>
        <xdr:cNvPicPr>
          <a:picLocks noChangeAspect="1"/>
        </xdr:cNvPicPr>
      </xdr:nvPicPr>
      <xdr:blipFill>
        <a:blip r:embed="rId199" r:link="rId2"/>
        <a:stretch>
          <a:fillRect/>
        </a:stretch>
      </xdr:blipFill>
      <xdr:spPr>
        <a:xfrm>
          <a:off x="685800" y="14097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3" name="ID_11C5E8C31B5A45AD9CCDF30100484FC9" descr="斯摩臂甲"/>
        <xdr:cNvPicPr>
          <a:picLocks noChangeAspect="1"/>
        </xdr:cNvPicPr>
      </xdr:nvPicPr>
      <xdr:blipFill>
        <a:blip r:embed="rId200" r:link="rId2"/>
        <a:stretch>
          <a:fillRect/>
        </a:stretch>
      </xdr:blipFill>
      <xdr:spPr>
        <a:xfrm>
          <a:off x="685800" y="13925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4" name="ID_5B8FE3AB53C64ED5A7B5CB6479D3BC28" descr="猎龙臂甲"/>
        <xdr:cNvPicPr>
          <a:picLocks noChangeAspect="1"/>
        </xdr:cNvPicPr>
      </xdr:nvPicPr>
      <xdr:blipFill>
        <a:blip r:embed="rId201" r:link="rId2"/>
        <a:stretch>
          <a:fillRect/>
        </a:stretch>
      </xdr:blipFill>
      <xdr:spPr>
        <a:xfrm>
          <a:off x="685800" y="13754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5" name="ID_337BF6A9C3F641558ADF31B225D44B69" descr="黄衣手套"/>
        <xdr:cNvPicPr>
          <a:picLocks noChangeAspect="1"/>
        </xdr:cNvPicPr>
      </xdr:nvPicPr>
      <xdr:blipFill>
        <a:blip r:embed="rId202" r:link="rId2"/>
        <a:stretch>
          <a:fillRect/>
        </a:stretch>
      </xdr:blipFill>
      <xdr:spPr>
        <a:xfrm>
          <a:off x="685800" y="163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6" name="ID_BAAC35BD28DF4B738B73E953CE8FCAED" descr="刺客手套"/>
        <xdr:cNvPicPr>
          <a:picLocks noChangeAspect="1"/>
        </xdr:cNvPicPr>
      </xdr:nvPicPr>
      <xdr:blipFill>
        <a:blip r:embed="rId203" r:link="rId2"/>
        <a:stretch>
          <a:fillRect/>
        </a:stretch>
      </xdr:blipFill>
      <xdr:spPr>
        <a:xfrm>
          <a:off x="685800" y="146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7" name="ID_4ABDB7DE1E684320A889603B98779551" descr="薄暮臂甲"/>
        <xdr:cNvPicPr>
          <a:picLocks noChangeAspect="1"/>
        </xdr:cNvPicPr>
      </xdr:nvPicPr>
      <xdr:blipFill>
        <a:blip r:embed="rId204" r:link="rId2"/>
        <a:stretch>
          <a:fillRect/>
        </a:stretch>
      </xdr:blipFill>
      <xdr:spPr>
        <a:xfrm>
          <a:off x="685800" y="129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8" name="ID_3D66DB1462984BF69B861F7DEA2528E2" descr="传令者手套"/>
        <xdr:cNvPicPr>
          <a:picLocks noChangeAspect="1"/>
        </xdr:cNvPicPr>
      </xdr:nvPicPr>
      <xdr:blipFill>
        <a:blip r:embed="rId205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9" name="ID_B56206F128184ADD80FA457652CCB684" descr="传火臂甲"/>
        <xdr:cNvPicPr>
          <a:picLocks noChangeAspect="1"/>
        </xdr:cNvPicPr>
      </xdr:nvPicPr>
      <xdr:blipFill>
        <a:blip r:embed="rId206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0" name="ID_9ECF6212ACFC4A429F4DD4D445D2A09B" descr="骑士臂甲"/>
        <xdr:cNvPicPr>
          <a:picLocks noChangeAspect="1"/>
        </xdr:cNvPicPr>
      </xdr:nvPicPr>
      <xdr:blipFill>
        <a:blip r:embed="rId207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1" name="ID_3921DE8CB0574A69A0B0C2E129438579" descr="亡命骑士臂甲"/>
        <xdr:cNvPicPr>
          <a:picLocks noChangeAspect="1"/>
        </xdr:cNvPicPr>
      </xdr:nvPicPr>
      <xdr:blipFill>
        <a:blip r:embed="rId208" r:link="rId2"/>
        <a:stretch>
          <a:fillRect/>
        </a:stretch>
      </xdr:blipFill>
      <xdr:spPr>
        <a:xfrm>
          <a:off x="685800" y="304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2" name="ID_D94435F80E584959A4B8295D5D4C571D" descr="佣兵臂甲"/>
        <xdr:cNvPicPr>
          <a:picLocks noChangeAspect="1"/>
        </xdr:cNvPicPr>
      </xdr:nvPicPr>
      <xdr:blipFill>
        <a:blip r:embed="rId209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3" name="ID_7552C8BC6F8D4F6DBE86BE9CD7FA8403" descr="北方手套"/>
        <xdr:cNvPicPr>
          <a:picLocks noChangeAspect="1"/>
        </xdr:cNvPicPr>
      </xdr:nvPicPr>
      <xdr:blipFill>
        <a:blip r:embed="rId210" r:link="rId2"/>
        <a:stretch>
          <a:fillRect/>
        </a:stretch>
      </xdr:blipFill>
      <xdr:spPr>
        <a:xfrm>
          <a:off x="685800" y="1809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4" name="ID_1510F340758644BE8AB13C6A3886B4F1" descr="摩恩臂甲"/>
        <xdr:cNvPicPr>
          <a:picLocks noChangeAspect="1"/>
        </xdr:cNvPicPr>
      </xdr:nvPicPr>
      <xdr:blipFill>
        <a:blip r:embed="rId211" r:link="rId2"/>
        <a:stretch>
          <a:fillRect/>
        </a:stretch>
      </xdr:blipFill>
      <xdr:spPr>
        <a:xfrm>
          <a:off x="685800" y="1981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5" name="ID_DB207250DC2E4DB7804C18972B57BA80" descr="李奥纳德臂甲"/>
        <xdr:cNvPicPr>
          <a:picLocks noChangeAspect="1"/>
        </xdr:cNvPicPr>
      </xdr:nvPicPr>
      <xdr:blipFill>
        <a:blip r:embed="rId212" r:link="rId2"/>
        <a:stretch>
          <a:fillRect/>
        </a:stretch>
      </xdr:blipFill>
      <xdr:spPr>
        <a:xfrm>
          <a:off x="685800" y="2152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6" name="ID_1FA3A2BBB196484A80FAD7241EE2B6C6" descr="白影手套"/>
        <xdr:cNvPicPr>
          <a:picLocks noChangeAspect="1"/>
        </xdr:cNvPicPr>
      </xdr:nvPicPr>
      <xdr:blipFill>
        <a:blip r:embed="rId213" r:link="rId2"/>
        <a:stretch>
          <a:fillRect/>
        </a:stretch>
      </xdr:blipFill>
      <xdr:spPr>
        <a:xfrm>
          <a:off x="685800" y="245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7" name="ID_771564A21BFF4A33A0EDB889FF4C4E91" descr="黄昏臂甲"/>
        <xdr:cNvPicPr>
          <a:picLocks noChangeAspect="1"/>
        </xdr:cNvPicPr>
      </xdr:nvPicPr>
      <xdr:blipFill>
        <a:blip r:embed="rId214" r:link="rId2"/>
        <a:stretch>
          <a:fillRect/>
        </a:stretch>
      </xdr:blipFill>
      <xdr:spPr>
        <a:xfrm>
          <a:off x="685800" y="2628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8" name="ID_0B6E57C84E934D229BDECE4365BB1802" descr="柯弭库斯腕套"/>
        <xdr:cNvPicPr>
          <a:picLocks noChangeAspect="1"/>
        </xdr:cNvPicPr>
      </xdr:nvPicPr>
      <xdr:blipFill>
        <a:blip r:embed="rId215" r:link="rId2"/>
        <a:stretch>
          <a:fillRect/>
        </a:stretch>
      </xdr:blipFill>
      <xdr:spPr>
        <a:xfrm>
          <a:off x="685800" y="2800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9" name="ID_EE894575524E4AD594FB8902D556968B" descr="处刑者臂甲"/>
        <xdr:cNvPicPr>
          <a:picLocks noChangeAspect="1"/>
        </xdr:cNvPicPr>
      </xdr:nvPicPr>
      <xdr:blipFill>
        <a:blip r:embed="rId216" r:link="rId2"/>
        <a:stretch>
          <a:fillRect/>
        </a:stretch>
      </xdr:blipFill>
      <xdr:spPr>
        <a:xfrm>
          <a:off x="685800" y="3105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0" name="ID_618BE566A7334D51AE723C5019C8533A" descr="黑色臂甲"/>
        <xdr:cNvPicPr>
          <a:picLocks noChangeAspect="1"/>
        </xdr:cNvPicPr>
      </xdr:nvPicPr>
      <xdr:blipFill>
        <a:blip r:embed="rId217" r:link="rId2"/>
        <a:stretch>
          <a:fillRect/>
        </a:stretch>
      </xdr:blipFill>
      <xdr:spPr>
        <a:xfrm>
          <a:off x="685800" y="3276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1" name="ID_62FE76D5A99C461EA6A0B96AD7966C32" descr="咒术师腕套"/>
        <xdr:cNvPicPr>
          <a:picLocks noChangeAspect="1"/>
        </xdr:cNvPicPr>
      </xdr:nvPicPr>
      <xdr:blipFill>
        <a:blip r:embed="rId218" r:link="rId2"/>
        <a:stretch>
          <a:fillRect/>
        </a:stretch>
      </xdr:blipFill>
      <xdr:spPr>
        <a:xfrm>
          <a:off x="685800" y="3448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2" name="ID_BB9531063E4649EDB2DD785EB4A7F90F" descr="宫廷魔法师手套"/>
        <xdr:cNvPicPr>
          <a:picLocks noChangeAspect="1"/>
        </xdr:cNvPicPr>
      </xdr:nvPicPr>
      <xdr:blipFill>
        <a:blip r:embed="rId219" r:link="rId2"/>
        <a:stretch>
          <a:fillRect/>
        </a:stretch>
      </xdr:blipFill>
      <xdr:spPr>
        <a:xfrm>
          <a:off x="685800" y="3619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3" name="ID_0E9A69A2F5D14C15B7A8D4319BCAB879" descr="魔法师手套"/>
        <xdr:cNvPicPr>
          <a:picLocks noChangeAspect="1"/>
        </xdr:cNvPicPr>
      </xdr:nvPicPr>
      <xdr:blipFill>
        <a:blip r:embed="rId220" r:link="rId2"/>
        <a:stretch>
          <a:fillRect/>
        </a:stretch>
      </xdr:blipFill>
      <xdr:spPr>
        <a:xfrm>
          <a:off x="685800" y="3924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4" name="ID_C80A29A624BC48B486CE91A7C49440B3" descr="圣职手套"/>
        <xdr:cNvPicPr>
          <a:picLocks noChangeAspect="1"/>
        </xdr:cNvPicPr>
      </xdr:nvPicPr>
      <xdr:blipFill>
        <a:blip r:embed="rId221" r:link="rId2"/>
        <a:stretch>
          <a:fillRect/>
        </a:stretch>
      </xdr:blipFill>
      <xdr:spPr>
        <a:xfrm>
          <a:off x="685800" y="4095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5" name="ID_9F461C67132C4C9F90701FB16D511E4E" descr="狱卒手套"/>
        <xdr:cNvPicPr>
          <a:picLocks noChangeAspect="1"/>
        </xdr:cNvPicPr>
      </xdr:nvPicPr>
      <xdr:blipFill>
        <a:blip r:embed="rId222" r:link="rId2"/>
        <a:stretch>
          <a:fillRect/>
        </a:stretch>
      </xdr:blipFill>
      <xdr:spPr>
        <a:xfrm>
          <a:off x="685800" y="4267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6" name="ID_7097A64AABF644DA9007D22AED6D064D" descr="守墓人腕套"/>
        <xdr:cNvPicPr>
          <a:picLocks noChangeAspect="1"/>
        </xdr:cNvPicPr>
      </xdr:nvPicPr>
      <xdr:blipFill>
        <a:blip r:embed="rId223" r:link="rId2"/>
        <a:stretch>
          <a:fillRect/>
        </a:stretch>
      </xdr:blipFill>
      <xdr:spPr>
        <a:xfrm>
          <a:off x="685800" y="443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7" name="ID_C8B020A781864547BC75E8B4BF99DDA6" descr="工作用手套"/>
        <xdr:cNvPicPr>
          <a:picLocks noChangeAspect="1"/>
        </xdr:cNvPicPr>
      </xdr:nvPicPr>
      <xdr:blipFill>
        <a:blip r:embed="rId224" r:link="rId2"/>
        <a:stretch>
          <a:fillRect/>
        </a:stretch>
      </xdr:blipFill>
      <xdr:spPr>
        <a:xfrm>
          <a:off x="685800" y="4610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8" name="ID_5D7E1EFE7FF34401B5F038D0F2A8C442" descr="导师手套"/>
        <xdr:cNvPicPr>
          <a:picLocks noChangeAspect="1"/>
        </xdr:cNvPicPr>
      </xdr:nvPicPr>
      <xdr:blipFill>
        <a:blip r:embed="rId225" r:link="rId2"/>
        <a:stretch>
          <a:fillRect/>
        </a:stretch>
      </xdr:blipFill>
      <xdr:spPr>
        <a:xfrm>
          <a:off x="685800" y="4781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9" name="ID_52909BC42EE14D63B638939D498807F1" descr="羽翼骑士臂甲"/>
        <xdr:cNvPicPr>
          <a:picLocks noChangeAspect="1"/>
        </xdr:cNvPicPr>
      </xdr:nvPicPr>
      <xdr:blipFill>
        <a:blip r:embed="rId226" r:link="rId2"/>
        <a:stretch>
          <a:fillRect/>
        </a:stretch>
      </xdr:blipFill>
      <xdr:spPr>
        <a:xfrm>
          <a:off x="685800" y="4953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0" name="ID_08356063EAF9454B9957519F568A401A" descr="教堂骑士臂甲"/>
        <xdr:cNvPicPr>
          <a:picLocks noChangeAspect="1"/>
        </xdr:cNvPicPr>
      </xdr:nvPicPr>
      <xdr:blipFill>
        <a:blip r:embed="rId227" r:link="rId2"/>
        <a:stretch>
          <a:fillRect/>
        </a:stretch>
      </xdr:blipFill>
      <xdr:spPr>
        <a:xfrm>
          <a:off x="685800" y="5257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1" name="ID_99EB63C3B87D4B1399581D53A999259D" descr="征战骑士臂甲"/>
        <xdr:cNvPicPr>
          <a:picLocks noChangeAspect="1"/>
        </xdr:cNvPicPr>
      </xdr:nvPicPr>
      <xdr:blipFill>
        <a:blip r:embed="rId228" r:link="rId2"/>
        <a:stretch>
          <a:fillRect/>
        </a:stretch>
      </xdr:blipFill>
      <xdr:spPr>
        <a:xfrm>
          <a:off x="685800" y="5867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2" name="ID_322496B877AC47C6AD6682F1EB63CFF4" descr="黑骑士臂甲"/>
        <xdr:cNvPicPr>
          <a:picLocks noChangeAspect="1"/>
        </xdr:cNvPicPr>
      </xdr:nvPicPr>
      <xdr:blipFill>
        <a:blip r:embed="rId229" r:link="rId2"/>
        <a:stretch>
          <a:fillRect/>
        </a:stretch>
      </xdr:blipFill>
      <xdr:spPr>
        <a:xfrm>
          <a:off x="685800" y="6172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3" name="ID_9D20C4639E934CC68C6DD2B4B871323B" descr="流放者臂甲"/>
        <xdr:cNvPicPr>
          <a:picLocks noChangeAspect="1"/>
        </xdr:cNvPicPr>
      </xdr:nvPicPr>
      <xdr:blipFill>
        <a:blip r:embed="rId230" r:link="rId2"/>
        <a:stretch>
          <a:fillRect/>
        </a:stretch>
      </xdr:blipFill>
      <xdr:spPr>
        <a:xfrm>
          <a:off x="685800" y="6343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4" name="ID_1A8C2BA9324A4E5480673D137959925C" descr="教宗骑士臂甲"/>
        <xdr:cNvPicPr>
          <a:picLocks noChangeAspect="1"/>
        </xdr:cNvPicPr>
      </xdr:nvPicPr>
      <xdr:blipFill>
        <a:blip r:embed="rId231" r:link="rId2"/>
        <a:stretch>
          <a:fillRect/>
        </a:stretch>
      </xdr:blipFill>
      <xdr:spPr>
        <a:xfrm>
          <a:off x="685800" y="6515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5" name="ID_B12C1025FA37402688BD51A7B813DF68" descr="黄金臂套"/>
        <xdr:cNvPicPr>
          <a:picLocks noChangeAspect="1"/>
        </xdr:cNvPicPr>
      </xdr:nvPicPr>
      <xdr:blipFill>
        <a:blip r:embed="rId232" r:link="rId2"/>
        <a:stretch>
          <a:fillRect/>
        </a:stretch>
      </xdr:blipFill>
      <xdr:spPr>
        <a:xfrm>
          <a:off x="685800" y="6819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6" name="ID_E031304D0FEE473DB2143F046EFBEDD0" descr="不死队臂甲"/>
        <xdr:cNvPicPr>
          <a:picLocks noChangeAspect="1"/>
        </xdr:cNvPicPr>
      </xdr:nvPicPr>
      <xdr:blipFill>
        <a:blip r:embed="rId233" r:link="rId2"/>
        <a:stretch>
          <a:fillRect/>
        </a:stretch>
      </xdr:blipFill>
      <xdr:spPr>
        <a:xfrm>
          <a:off x="685800" y="6991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7" name="ID_20F6DB52A64D45E59FBBF4F2EEB8AE1D" descr="火焰魔女臂甲"/>
        <xdr:cNvPicPr>
          <a:picLocks noChangeAspect="1"/>
        </xdr:cNvPicPr>
      </xdr:nvPicPr>
      <xdr:blipFill>
        <a:blip r:embed="rId234" r:link="rId2"/>
        <a:stretch>
          <a:fillRect/>
        </a:stretch>
      </xdr:blipFill>
      <xdr:spPr>
        <a:xfrm>
          <a:off x="685800" y="7162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8" name="ID_BDF97C99F9A54B20A73BD0C8148468C8" descr="洛里安臂甲"/>
        <xdr:cNvPicPr>
          <a:picLocks noChangeAspect="1"/>
        </xdr:cNvPicPr>
      </xdr:nvPicPr>
      <xdr:blipFill>
        <a:blip r:embed="rId235" r:link="rId2"/>
        <a:stretch>
          <a:fillRect/>
        </a:stretch>
      </xdr:blipFill>
      <xdr:spPr>
        <a:xfrm>
          <a:off x="685800" y="7467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9" name="ID_790FD66DBC534AC4BD02FA1FD16000A3" descr="舞娘臂甲"/>
        <xdr:cNvPicPr>
          <a:picLocks noChangeAspect="1"/>
        </xdr:cNvPicPr>
      </xdr:nvPicPr>
      <xdr:blipFill>
        <a:blip r:embed="rId236" r:link="rId2"/>
        <a:stretch>
          <a:fillRect/>
        </a:stretch>
      </xdr:blipFill>
      <xdr:spPr>
        <a:xfrm>
          <a:off x="685800" y="7639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0" name="ID_FCAC383B86E645529C503C7896526E3E" descr="古达臂甲"/>
        <xdr:cNvPicPr>
          <a:picLocks noChangeAspect="1"/>
        </xdr:cNvPicPr>
      </xdr:nvPicPr>
      <xdr:blipFill>
        <a:blip r:embed="rId237" r:link="rId2"/>
        <a:stretch>
          <a:fillRect/>
        </a:stretch>
      </xdr:blipFill>
      <xdr:spPr>
        <a:xfrm>
          <a:off x="685800" y="7810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1" name="ID_B7710E7497334C6ABAA3AABE5BEE63CD" descr="防火女腕套"/>
        <xdr:cNvPicPr>
          <a:picLocks noChangeAspect="1"/>
        </xdr:cNvPicPr>
      </xdr:nvPicPr>
      <xdr:blipFill>
        <a:blip r:embed="rId238" r:link="rId2"/>
        <a:stretch>
          <a:fillRect/>
        </a:stretch>
      </xdr:blipFill>
      <xdr:spPr>
        <a:xfrm>
          <a:off x="685800" y="7981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2" name="ID_0BB3C8C8D8344719816C44C58225B508" descr="皮护臂"/>
        <xdr:cNvPicPr>
          <a:picLocks noChangeAspect="1"/>
        </xdr:cNvPicPr>
      </xdr:nvPicPr>
      <xdr:blipFill>
        <a:blip r:embed="rId239" r:link="rId2"/>
        <a:stretch>
          <a:fillRect/>
        </a:stretch>
      </xdr:blipFill>
      <xdr:spPr>
        <a:xfrm>
          <a:off x="685800" y="81534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3" name="ID_F24A60DABD7B46BDA158CD1A29BFBFB1" descr="无名骑士臂甲"/>
        <xdr:cNvPicPr>
          <a:picLocks noChangeAspect="1"/>
        </xdr:cNvPicPr>
      </xdr:nvPicPr>
      <xdr:blipFill>
        <a:blip r:embed="rId240" r:link="rId2"/>
        <a:stretch>
          <a:fillRect/>
        </a:stretch>
      </xdr:blipFill>
      <xdr:spPr>
        <a:xfrm>
          <a:off x="685800" y="8324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4" name="ID_8893FCBE3D2D472B82430479CF38EFF4" descr="上级骑士臂甲"/>
        <xdr:cNvPicPr>
          <a:picLocks noChangeAspect="1"/>
        </xdr:cNvPicPr>
      </xdr:nvPicPr>
      <xdr:blipFill>
        <a:blip r:embed="rId241" r:link="rId2"/>
        <a:stretch>
          <a:fillRect/>
        </a:stretch>
      </xdr:blipFill>
      <xdr:spPr>
        <a:xfrm>
          <a:off x="685800" y="8629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5" name="ID_3552BC7EB34C47A99F4FE70EE9FA8569" descr="法汉臂甲"/>
        <xdr:cNvPicPr>
          <a:picLocks noChangeAspect="1"/>
        </xdr:cNvPicPr>
      </xdr:nvPicPr>
      <xdr:blipFill>
        <a:blip r:embed="rId242" r:link="rId2"/>
        <a:stretch>
          <a:fillRect/>
        </a:stretch>
      </xdr:blipFill>
      <xdr:spPr>
        <a:xfrm>
          <a:off x="685800" y="8934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6" name="ID_F45C4764CF934F5FB4BAE2093A36BFD6" descr="硬皮护臂"/>
        <xdr:cNvPicPr>
          <a:picLocks noChangeAspect="1"/>
        </xdr:cNvPicPr>
      </xdr:nvPicPr>
      <xdr:blipFill>
        <a:blip r:embed="rId243" r:link="rId2"/>
        <a:stretch>
          <a:fillRect/>
        </a:stretch>
      </xdr:blipFill>
      <xdr:spPr>
        <a:xfrm>
          <a:off x="685800" y="9410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7" name="ID_3C4DF2C1B829481C9F32E0C8298E7003" descr="哈维尔臂甲"/>
        <xdr:cNvPicPr>
          <a:picLocks noChangeAspect="1"/>
        </xdr:cNvPicPr>
      </xdr:nvPicPr>
      <xdr:blipFill>
        <a:blip r:embed="rId244" r:link="rId2"/>
        <a:stretch>
          <a:fillRect/>
        </a:stretch>
      </xdr:blipFill>
      <xdr:spPr>
        <a:xfrm>
          <a:off x="685800" y="9582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8" name="ID_4D597409E05845D294B4671C2CB7226B" descr="山贼护手"/>
        <xdr:cNvPicPr>
          <a:picLocks noChangeAspect="1"/>
        </xdr:cNvPicPr>
      </xdr:nvPicPr>
      <xdr:blipFill>
        <a:blip r:embed="rId245" r:link="rId2"/>
        <a:stretch>
          <a:fillRect/>
        </a:stretch>
      </xdr:blipFill>
      <xdr:spPr>
        <a:xfrm>
          <a:off x="685800" y="97536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9" name="ID_904A1D6C204B42A2B01F93228F31EB99" descr="皮手套"/>
        <xdr:cNvPicPr>
          <a:picLocks noChangeAspect="1"/>
        </xdr:cNvPicPr>
      </xdr:nvPicPr>
      <xdr:blipFill>
        <a:blip r:embed="rId246" r:link="rId2"/>
        <a:stretch>
          <a:fillRect/>
        </a:stretch>
      </xdr:blipFill>
      <xdr:spPr>
        <a:xfrm>
          <a:off x="685800" y="99250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0" name="ID_0F26D5FF0DBC41D5B63FA35CE476AEF9" descr="专家腕套"/>
        <xdr:cNvPicPr>
          <a:picLocks noChangeAspect="1"/>
        </xdr:cNvPicPr>
      </xdr:nvPicPr>
      <xdr:blipFill>
        <a:blip r:embed="rId247" r:link="rId2"/>
        <a:stretch>
          <a:fillRect/>
        </a:stretch>
      </xdr:blipFill>
      <xdr:spPr>
        <a:xfrm>
          <a:off x="685800" y="10096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1" name="ID_D64DEFA7545A4D1D8794CEBA91566323" descr="古老魔法师护臂"/>
        <xdr:cNvPicPr>
          <a:picLocks noChangeAspect="1"/>
        </xdr:cNvPicPr>
      </xdr:nvPicPr>
      <xdr:blipFill>
        <a:blip r:embed="rId248" r:link="rId2"/>
        <a:stretch>
          <a:fillRect/>
        </a:stretch>
      </xdr:blipFill>
      <xdr:spPr>
        <a:xfrm>
          <a:off x="685800" y="102679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2" name="ID_0295A77815C94608A7FC270BEDF53994" descr="诅咒师袖套"/>
        <xdr:cNvPicPr>
          <a:picLocks noChangeAspect="1"/>
        </xdr:cNvPicPr>
      </xdr:nvPicPr>
      <xdr:blipFill>
        <a:blip r:embed="rId249" r:link="rId2"/>
        <a:stretch>
          <a:fillRect/>
        </a:stretch>
      </xdr:blipFill>
      <xdr:spPr>
        <a:xfrm>
          <a:off x="685800" y="10572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3" name="ID_926360DFBFC74DEE986D0C58238EF18D" descr="黑皮手套"/>
        <xdr:cNvPicPr>
          <a:picLocks noChangeAspect="1"/>
        </xdr:cNvPicPr>
      </xdr:nvPicPr>
      <xdr:blipFill>
        <a:blip r:embed="rId250" r:link="rId2"/>
        <a:stretch>
          <a:fillRect/>
        </a:stretch>
      </xdr:blipFill>
      <xdr:spPr>
        <a:xfrm>
          <a:off x="685800" y="107442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4" name="ID_4FEBB6D8055A453E8F1D95A35E2A02EE" descr="米勒锁炼手套"/>
        <xdr:cNvPicPr>
          <a:picLocks noChangeAspect="1"/>
        </xdr:cNvPicPr>
      </xdr:nvPicPr>
      <xdr:blipFill>
        <a:blip r:embed="rId251" r:link="rId2"/>
        <a:stretch>
          <a:fillRect/>
        </a:stretch>
      </xdr:blipFill>
      <xdr:spPr>
        <a:xfrm>
          <a:off x="685800" y="10915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5" name="ID_61180DB5A1F8481494F44108C918996F" descr="圣女手套"/>
        <xdr:cNvPicPr>
          <a:picLocks noChangeAspect="1"/>
        </xdr:cNvPicPr>
      </xdr:nvPicPr>
      <xdr:blipFill>
        <a:blip r:embed="rId252" r:link="rId2"/>
        <a:stretch>
          <a:fillRect/>
        </a:stretch>
      </xdr:blipFill>
      <xdr:spPr>
        <a:xfrm>
          <a:off x="685800" y="11220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6" name="ID_6397822988544093943A03A9BFD485C6" descr="亚瓦臂甲"/>
        <xdr:cNvPicPr>
          <a:picLocks noChangeAspect="1"/>
        </xdr:cNvPicPr>
      </xdr:nvPicPr>
      <xdr:blipFill>
        <a:blip r:embed="rId253" r:link="rId2"/>
        <a:stretch>
          <a:fillRect/>
        </a:stretch>
      </xdr:blipFill>
      <xdr:spPr>
        <a:xfrm>
          <a:off x="685800" y="11391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7" name="ID_C9E53BF51C974EDABFE5DA7F8561476A" descr="黑影臂甲"/>
        <xdr:cNvPicPr>
          <a:picLocks noChangeAspect="1"/>
        </xdr:cNvPicPr>
      </xdr:nvPicPr>
      <xdr:blipFill>
        <a:blip r:embed="rId254" r:link="rId2"/>
        <a:stretch>
          <a:fillRect/>
        </a:stretch>
      </xdr:blipFill>
      <xdr:spPr>
        <a:xfrm>
          <a:off x="685800" y="115633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8" name="ID_EA2390AE820C4826AB2809DDD5694D1F" descr="东方臂甲"/>
        <xdr:cNvPicPr>
          <a:picLocks noChangeAspect="1"/>
        </xdr:cNvPicPr>
      </xdr:nvPicPr>
      <xdr:blipFill>
        <a:blip r:embed="rId255" r:link="rId2"/>
        <a:stretch>
          <a:fillRect/>
        </a:stretch>
      </xdr:blipFill>
      <xdr:spPr>
        <a:xfrm>
          <a:off x="685800" y="11734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9" name="ID_1629EE4B186B48FB8B05BBF1A841464B" descr="宠爱的臂甲"/>
        <xdr:cNvPicPr>
          <a:picLocks noChangeAspect="1"/>
        </xdr:cNvPicPr>
      </xdr:nvPicPr>
      <xdr:blipFill>
        <a:blip r:embed="rId256" r:link="rId2"/>
        <a:stretch>
          <a:fillRect/>
        </a:stretch>
      </xdr:blipFill>
      <xdr:spPr>
        <a:xfrm>
          <a:off x="685800" y="11906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0" name="ID_B72C7D8AD5E845B8A32505537A1974E2" descr="黄铜臂甲"/>
        <xdr:cNvPicPr>
          <a:picLocks noChangeAspect="1"/>
        </xdr:cNvPicPr>
      </xdr:nvPicPr>
      <xdr:blipFill>
        <a:blip r:embed="rId257" r:link="rId2"/>
        <a:stretch>
          <a:fillRect/>
        </a:stretch>
      </xdr:blipFill>
      <xdr:spPr>
        <a:xfrm>
          <a:off x="685800" y="12077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1" name="ID_F03E89F40BE5465EB17FD0DD7C6B73BA" descr="银骑士臂甲"/>
        <xdr:cNvPicPr>
          <a:picLocks noChangeAspect="1"/>
        </xdr:cNvPicPr>
      </xdr:nvPicPr>
      <xdr:blipFill>
        <a:blip r:embed="rId258" r:link="rId2"/>
        <a:stretch>
          <a:fillRect/>
        </a:stretch>
      </xdr:blipFill>
      <xdr:spPr>
        <a:xfrm>
          <a:off x="685800" y="12249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2" name="ID_1A2DC7A1DAE14093B7482ACD9200593F" descr="米勒手套"/>
        <xdr:cNvPicPr>
          <a:picLocks noChangeAspect="1"/>
        </xdr:cNvPicPr>
      </xdr:nvPicPr>
      <xdr:blipFill>
        <a:blip r:embed="rId259" r:link="rId2"/>
        <a:stretch>
          <a:fillRect/>
        </a:stretch>
      </xdr:blipFill>
      <xdr:spPr>
        <a:xfrm>
          <a:off x="685800" y="12420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3" name="ID_701D221D37E84584B18D2EE6B06C5ADF" descr="铁臂套"/>
        <xdr:cNvPicPr>
          <a:picLocks noChangeAspect="1"/>
        </xdr:cNvPicPr>
      </xdr:nvPicPr>
      <xdr:blipFill>
        <a:blip r:embed="rId260" r:link="rId2"/>
        <a:stretch>
          <a:fillRect/>
        </a:stretch>
      </xdr:blipFill>
      <xdr:spPr>
        <a:xfrm>
          <a:off x="685800" y="12592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4" name="ID_7EB3025A7EA04983A9F6EE53F675619B" descr="龙血臂甲"/>
        <xdr:cNvPicPr>
          <a:picLocks noChangeAspect="1"/>
        </xdr:cNvPicPr>
      </xdr:nvPicPr>
      <xdr:blipFill>
        <a:blip r:embed="rId261" r:link="rId2"/>
        <a:stretch>
          <a:fillRect/>
        </a:stretch>
      </xdr:blipFill>
      <xdr:spPr>
        <a:xfrm>
          <a:off x="685800" y="12763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5" name="ID_D0747904E3C3470EBF9F9791013DFE2B" descr="多兰护手"/>
        <xdr:cNvPicPr>
          <a:picLocks noChangeAspect="1"/>
        </xdr:cNvPicPr>
      </xdr:nvPicPr>
      <xdr:blipFill>
        <a:blip r:embed="rId262" r:link="rId2"/>
        <a:stretch>
          <a:fillRect/>
        </a:stretch>
      </xdr:blipFill>
      <xdr:spPr>
        <a:xfrm>
          <a:off x="685800" y="12934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6" name="ID_2D82689448004EB3B6AFB5B2AA5C9C6B" descr="黑铁臂甲"/>
        <xdr:cNvPicPr>
          <a:picLocks noChangeAspect="1"/>
        </xdr:cNvPicPr>
      </xdr:nvPicPr>
      <xdr:blipFill>
        <a:blip r:embed="rId263" r:link="rId2"/>
        <a:stretch>
          <a:fillRect/>
        </a:stretch>
      </xdr:blipFill>
      <xdr:spPr>
        <a:xfrm>
          <a:off x="685800" y="13106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7" name="ID_7DE891787EB548F3BDB92FCD83C802ED" descr="绘画使者长手套"/>
        <xdr:cNvPicPr>
          <a:picLocks noChangeAspect="1"/>
        </xdr:cNvPicPr>
      </xdr:nvPicPr>
      <xdr:blipFill>
        <a:blip r:embed="rId264" r:link="rId2"/>
        <a:stretch>
          <a:fillRect/>
        </a:stretch>
      </xdr:blipFill>
      <xdr:spPr>
        <a:xfrm>
          <a:off x="685800" y="13277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8" name="ID_7A2CCE733BC741299B122059659E99F1" descr="狼骑士臂甲"/>
        <xdr:cNvPicPr>
          <a:picLocks noChangeAspect="1"/>
        </xdr:cNvPicPr>
      </xdr:nvPicPr>
      <xdr:blipFill>
        <a:blip r:embed="rId265" r:link="rId2"/>
        <a:stretch>
          <a:fillRect/>
        </a:stretch>
      </xdr:blipFill>
      <xdr:spPr>
        <a:xfrm>
          <a:off x="685800" y="13582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9" name="ID_A3065B64A0074930B485A28EA4A472D1" descr="希拉长裤"/>
        <xdr:cNvPicPr>
          <a:picLocks noChangeAspect="1"/>
        </xdr:cNvPicPr>
      </xdr:nvPicPr>
      <xdr:blipFill>
        <a:blip r:embed="rId266" r:link="rId2"/>
        <a:stretch>
          <a:fillRect/>
        </a:stretch>
      </xdr:blipFill>
      <xdr:spPr>
        <a:xfrm>
          <a:off x="685800" y="16725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0" name="ID_47703E8FBBD8461EA9F91A8EB52F0F4F" descr="米尔伍德腿甲"/>
        <xdr:cNvPicPr>
          <a:picLocks noChangeAspect="1"/>
        </xdr:cNvPicPr>
      </xdr:nvPicPr>
      <xdr:blipFill>
        <a:blip r:embed="rId267" r:link="rId2"/>
        <a:stretch>
          <a:fillRect/>
        </a:stretch>
      </xdr:blipFill>
      <xdr:spPr>
        <a:xfrm>
          <a:off x="685800" y="16249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1" name="ID_41D1B0730BAF44358174FEDFE202D286" descr="幽魂靴子"/>
        <xdr:cNvPicPr>
          <a:picLocks noChangeAspect="1"/>
        </xdr:cNvPicPr>
      </xdr:nvPicPr>
      <xdr:blipFill>
        <a:blip r:embed="rId268" r:link="rId2"/>
        <a:stretch>
          <a:fillRect/>
        </a:stretch>
      </xdr:blipFill>
      <xdr:spPr>
        <a:xfrm>
          <a:off x="685800" y="16078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2" name="ID_5C7BD4FCD64B45AD84A007F622AA419D" descr="修女长裤"/>
        <xdr:cNvPicPr>
          <a:picLocks noChangeAspect="1"/>
        </xdr:cNvPicPr>
      </xdr:nvPicPr>
      <xdr:blipFill>
        <a:blip r:embed="rId269" r:link="rId2"/>
        <a:stretch>
          <a:fillRect/>
        </a:stretch>
      </xdr:blipFill>
      <xdr:spPr>
        <a:xfrm>
          <a:off x="685800" y="15906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3" name="ID_ECEF57346C4341D9915E528636443626" descr="奴隶骑士腿甲"/>
        <xdr:cNvPicPr>
          <a:picLocks noChangeAspect="1"/>
        </xdr:cNvPicPr>
      </xdr:nvPicPr>
      <xdr:blipFill>
        <a:blip r:embed="rId270" r:link="rId2"/>
        <a:stretch>
          <a:fillRect/>
        </a:stretch>
      </xdr:blipFill>
      <xdr:spPr>
        <a:xfrm>
          <a:off x="685800" y="15601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4" name="ID_7FA685463DAC40B6B5140428F642F4CC" descr="维赫勒腿甲"/>
        <xdr:cNvPicPr>
          <a:picLocks noChangeAspect="1"/>
        </xdr:cNvPicPr>
      </xdr:nvPicPr>
      <xdr:blipFill>
        <a:blip r:embed="rId271" r:link="rId2"/>
        <a:stretch>
          <a:fillRect/>
        </a:stretch>
      </xdr:blipFill>
      <xdr:spPr>
        <a:xfrm>
          <a:off x="685800" y="15430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5" name="ID_78007BB7A2DF49F78B3EEAE422517B7D" descr="卡露拉长裤"/>
        <xdr:cNvPicPr>
          <a:picLocks noChangeAspect="1"/>
        </xdr:cNvPicPr>
      </xdr:nvPicPr>
      <xdr:blipFill>
        <a:blip r:embed="rId272" r:link="rId2"/>
        <a:stretch>
          <a:fillRect/>
        </a:stretch>
      </xdr:blipFill>
      <xdr:spPr>
        <a:xfrm>
          <a:off x="685800" y="15259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6" name="ID_CFE4096DF7FB41B3B2FA266EB6BE5BF5" descr="古典裙子"/>
        <xdr:cNvPicPr>
          <a:picLocks noChangeAspect="1"/>
        </xdr:cNvPicPr>
      </xdr:nvPicPr>
      <xdr:blipFill>
        <a:blip r:embed="rId273" r:link="rId2"/>
        <a:stretch>
          <a:fillRect/>
        </a:stretch>
      </xdr:blipFill>
      <xdr:spPr>
        <a:xfrm>
          <a:off x="685800" y="15087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7" name="ID_43CC73C7B4B84958B23D30BB84B575BD" descr="刺针腿甲"/>
        <xdr:cNvPicPr>
          <a:picLocks noChangeAspect="1"/>
        </xdr:cNvPicPr>
      </xdr:nvPicPr>
      <xdr:blipFill>
        <a:blip r:embed="rId274" r:link="rId2"/>
        <a:stretch>
          <a:fillRect/>
        </a:stretch>
      </xdr:blipFill>
      <xdr:spPr>
        <a:xfrm>
          <a:off x="685800" y="14916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8" name="ID_55A8E5C088B34591B614B647A9199414" descr="斯摩腿甲"/>
        <xdr:cNvPicPr>
          <a:picLocks noChangeAspect="1"/>
        </xdr:cNvPicPr>
      </xdr:nvPicPr>
      <xdr:blipFill>
        <a:blip r:embed="rId275" r:link="rId2"/>
        <a:stretch>
          <a:fillRect/>
        </a:stretch>
      </xdr:blipFill>
      <xdr:spPr>
        <a:xfrm>
          <a:off x="685800" y="14744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9" name="ID_7D850AAEA5F04D578C5CA03BD783F09C" descr="猎龙腿甲"/>
        <xdr:cNvPicPr>
          <a:picLocks noChangeAspect="1"/>
        </xdr:cNvPicPr>
      </xdr:nvPicPr>
      <xdr:blipFill>
        <a:blip r:embed="rId276" r:link="rId2"/>
        <a:stretch>
          <a:fillRect/>
        </a:stretch>
      </xdr:blipFill>
      <xdr:spPr>
        <a:xfrm>
          <a:off x="685800" y="14573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0" name="ID_1DF045849D784F42B1BFF2249FCF2B99" descr="狼骑士腿甲"/>
        <xdr:cNvPicPr>
          <a:picLocks noChangeAspect="1"/>
        </xdr:cNvPicPr>
      </xdr:nvPicPr>
      <xdr:blipFill>
        <a:blip r:embed="rId277" r:link="rId2"/>
        <a:stretch>
          <a:fillRect/>
        </a:stretch>
      </xdr:blipFill>
      <xdr:spPr>
        <a:xfrm>
          <a:off x="685800" y="14401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1" name="ID_6EC4623CE46C46FAB73127D21EDD59FA" descr="绘画使者围裙"/>
        <xdr:cNvPicPr>
          <a:picLocks noChangeAspect="1"/>
        </xdr:cNvPicPr>
      </xdr:nvPicPr>
      <xdr:blipFill>
        <a:blip r:embed="rId278" r:link="rId2"/>
        <a:stretch>
          <a:fillRect/>
        </a:stretch>
      </xdr:blipFill>
      <xdr:spPr>
        <a:xfrm>
          <a:off x="685800" y="14097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2" name="ID_6C7E863C1AC847308C1210806FAB75A1" descr="黑铁腿甲"/>
        <xdr:cNvPicPr>
          <a:picLocks noChangeAspect="1"/>
        </xdr:cNvPicPr>
      </xdr:nvPicPr>
      <xdr:blipFill>
        <a:blip r:embed="rId279" r:link="rId2"/>
        <a:stretch>
          <a:fillRect/>
        </a:stretch>
      </xdr:blipFill>
      <xdr:spPr>
        <a:xfrm>
          <a:off x="685800" y="13925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3" name="ID_2F49298694BA4B5C9532D72CC73C3EFC" descr="多兰靴子"/>
        <xdr:cNvPicPr>
          <a:picLocks noChangeAspect="1"/>
        </xdr:cNvPicPr>
      </xdr:nvPicPr>
      <xdr:blipFill>
        <a:blip r:embed="rId280" r:link="rId2"/>
        <a:stretch>
          <a:fillRect/>
        </a:stretch>
      </xdr:blipFill>
      <xdr:spPr>
        <a:xfrm>
          <a:off x="685800" y="13754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4" name="ID_0488380451B14DB8A340B3CDAA418EA5" descr="龙血腿甲"/>
        <xdr:cNvPicPr>
          <a:picLocks noChangeAspect="1"/>
        </xdr:cNvPicPr>
      </xdr:nvPicPr>
      <xdr:blipFill>
        <a:blip r:embed="rId281" r:link="rId2"/>
        <a:stretch>
          <a:fillRect/>
        </a:stretch>
      </xdr:blipFill>
      <xdr:spPr>
        <a:xfrm>
          <a:off x="685800" y="13582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5" name="ID_4D554B69695444E3AE3FE8A3B68FACF8" descr="铁腿甲"/>
        <xdr:cNvPicPr>
          <a:picLocks noChangeAspect="1"/>
        </xdr:cNvPicPr>
      </xdr:nvPicPr>
      <xdr:blipFill>
        <a:blip r:embed="rId282" r:link="rId2"/>
        <a:stretch>
          <a:fillRect/>
        </a:stretch>
      </xdr:blipFill>
      <xdr:spPr>
        <a:xfrm>
          <a:off x="685800" y="13411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6" name="ID_EF8CEFA1553146199FB35AB7B9E2A7D0" descr="米勒长裤"/>
        <xdr:cNvPicPr>
          <a:picLocks noChangeAspect="1"/>
        </xdr:cNvPicPr>
      </xdr:nvPicPr>
      <xdr:blipFill>
        <a:blip r:embed="rId283" r:link="rId2"/>
        <a:stretch>
          <a:fillRect/>
        </a:stretch>
      </xdr:blipFill>
      <xdr:spPr>
        <a:xfrm>
          <a:off x="685800" y="13239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7" name="ID_58FD342004734771976715F58A45DEFC" descr="刺客长裤"/>
        <xdr:cNvPicPr>
          <a:picLocks noChangeAspect="1"/>
        </xdr:cNvPicPr>
      </xdr:nvPicPr>
      <xdr:blipFill>
        <a:blip r:embed="rId284" r:link="rId2"/>
        <a:stretch>
          <a:fillRect/>
        </a:stretch>
      </xdr:blipFill>
      <xdr:spPr>
        <a:xfrm>
          <a:off x="685800" y="146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8" name="ID_F8B1FED79BA246988F93454681C4A9AF" descr="薄暮腿甲"/>
        <xdr:cNvPicPr>
          <a:picLocks noChangeAspect="1"/>
        </xdr:cNvPicPr>
      </xdr:nvPicPr>
      <xdr:blipFill>
        <a:blip r:embed="rId285" r:link="rId2"/>
        <a:stretch>
          <a:fillRect/>
        </a:stretch>
      </xdr:blipFill>
      <xdr:spPr>
        <a:xfrm>
          <a:off x="685800" y="129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9" name="ID_E07BE896114E4A3583B4F7864578343E" descr="传令者长裤"/>
        <xdr:cNvPicPr>
          <a:picLocks noChangeAspect="1"/>
        </xdr:cNvPicPr>
      </xdr:nvPicPr>
      <xdr:blipFill>
        <a:blip r:embed="rId286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0" name="ID_4580E34FDD2F4D329BFA89105919BF8B" descr="佣兵长裤"/>
        <xdr:cNvPicPr>
          <a:picLocks noChangeAspect="1"/>
        </xdr:cNvPicPr>
      </xdr:nvPicPr>
      <xdr:blipFill>
        <a:blip r:embed="rId287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1" name="ID_6266B43F113245FC9CA43D978C4174A8" descr="传火腿甲"/>
        <xdr:cNvPicPr>
          <a:picLocks noChangeAspect="1"/>
        </xdr:cNvPicPr>
      </xdr:nvPicPr>
      <xdr:blipFill>
        <a:blip r:embed="rId288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2" name="ID_72299F8935C94D399176AB61BD0621EE" descr="骑士腿甲"/>
        <xdr:cNvPicPr>
          <a:picLocks noChangeAspect="1"/>
        </xdr:cNvPicPr>
      </xdr:nvPicPr>
      <xdr:blipFill>
        <a:blip r:embed="rId289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3" name="ID_641092AC874F4A6FABF5FA9EF6005E98" descr="亡命骑士长裤"/>
        <xdr:cNvPicPr>
          <a:picLocks noChangeAspect="1"/>
        </xdr:cNvPicPr>
      </xdr:nvPicPr>
      <xdr:blipFill>
        <a:blip r:embed="rId290" r:link="rId2"/>
        <a:stretch>
          <a:fillRect/>
        </a:stretch>
      </xdr:blipFill>
      <xdr:spPr>
        <a:xfrm>
          <a:off x="685800" y="304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4" name="ID_A524BA8A05CD42E59B48C246F4A85C01" descr="拉普腿甲"/>
        <xdr:cNvPicPr>
          <a:picLocks noChangeAspect="1"/>
        </xdr:cNvPicPr>
      </xdr:nvPicPr>
      <xdr:blipFill>
        <a:blip r:embed="rId291" r:link="rId2"/>
        <a:stretch>
          <a:fillRect/>
        </a:stretch>
      </xdr:blipFill>
      <xdr:spPr>
        <a:xfrm>
          <a:off x="685800" y="16897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5" name="ID_14CFA2AFEB674EB7AC5828799CB63DD1" descr="黄衣长裤"/>
        <xdr:cNvPicPr>
          <a:picLocks noChangeAspect="1"/>
        </xdr:cNvPicPr>
      </xdr:nvPicPr>
      <xdr:blipFill>
        <a:blip r:embed="rId292" r:link="rId2"/>
        <a:stretch>
          <a:fillRect/>
        </a:stretch>
      </xdr:blipFill>
      <xdr:spPr>
        <a:xfrm>
          <a:off x="685800" y="163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6" name="ID_F4747E06190347F28E5DFED5F4F30120" descr="北方长裤"/>
        <xdr:cNvPicPr>
          <a:picLocks noChangeAspect="1"/>
        </xdr:cNvPicPr>
      </xdr:nvPicPr>
      <xdr:blipFill>
        <a:blip r:embed="rId293" r:link="rId2"/>
        <a:stretch>
          <a:fillRect/>
        </a:stretch>
      </xdr:blipFill>
      <xdr:spPr>
        <a:xfrm>
          <a:off x="685800" y="1809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7" name="ID_2744E10FA79843CBA9189ED65321D669" descr="摩恩腿甲"/>
        <xdr:cNvPicPr>
          <a:picLocks noChangeAspect="1"/>
        </xdr:cNvPicPr>
      </xdr:nvPicPr>
      <xdr:blipFill>
        <a:blip r:embed="rId294" r:link="rId2"/>
        <a:stretch>
          <a:fillRect/>
        </a:stretch>
      </xdr:blipFill>
      <xdr:spPr>
        <a:xfrm>
          <a:off x="685800" y="1981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8" name="ID_98C52CB79B36487882F4E7B233DE357F" descr="李奥纳德长裤"/>
        <xdr:cNvPicPr>
          <a:picLocks noChangeAspect="1"/>
        </xdr:cNvPicPr>
      </xdr:nvPicPr>
      <xdr:blipFill>
        <a:blip r:embed="rId295" r:link="rId2"/>
        <a:stretch>
          <a:fillRect/>
        </a:stretch>
      </xdr:blipFill>
      <xdr:spPr>
        <a:xfrm>
          <a:off x="685800" y="2152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9" name="ID_6C827C250E4248CDB44480FFD512A04E" descr="白影长裤"/>
        <xdr:cNvPicPr>
          <a:picLocks noChangeAspect="1"/>
        </xdr:cNvPicPr>
      </xdr:nvPicPr>
      <xdr:blipFill>
        <a:blip r:embed="rId296" r:link="rId2"/>
        <a:stretch>
          <a:fillRect/>
        </a:stretch>
      </xdr:blipFill>
      <xdr:spPr>
        <a:xfrm>
          <a:off x="685800" y="245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0" name="ID_12F20CF743B04931987B30ACE91CB650" descr="黄昏腿甲"/>
        <xdr:cNvPicPr>
          <a:picLocks noChangeAspect="1"/>
        </xdr:cNvPicPr>
      </xdr:nvPicPr>
      <xdr:blipFill>
        <a:blip r:embed="rId297" r:link="rId2"/>
        <a:stretch>
          <a:fillRect/>
        </a:stretch>
      </xdr:blipFill>
      <xdr:spPr>
        <a:xfrm>
          <a:off x="685800" y="2628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1" name="ID_27A3771D5AB949BEBDA6C12A31F0C1D6" descr="柯弭库斯围裙"/>
        <xdr:cNvPicPr>
          <a:picLocks noChangeAspect="1"/>
        </xdr:cNvPicPr>
      </xdr:nvPicPr>
      <xdr:blipFill>
        <a:blip r:embed="rId298" r:link="rId2"/>
        <a:stretch>
          <a:fillRect/>
        </a:stretch>
      </xdr:blipFill>
      <xdr:spPr>
        <a:xfrm>
          <a:off x="685800" y="2800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2" name="ID_183DEE2057674045AA572C25FEB5FC92" descr="处刑者腿甲"/>
        <xdr:cNvPicPr>
          <a:picLocks noChangeAspect="1"/>
        </xdr:cNvPicPr>
      </xdr:nvPicPr>
      <xdr:blipFill>
        <a:blip r:embed="rId299" r:link="rId2"/>
        <a:stretch>
          <a:fillRect/>
        </a:stretch>
      </xdr:blipFill>
      <xdr:spPr>
        <a:xfrm>
          <a:off x="685800" y="3105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3" name="ID_7FD50E0488D24661996A443A0527A4D4" descr="黑色腿甲"/>
        <xdr:cNvPicPr>
          <a:picLocks noChangeAspect="1"/>
        </xdr:cNvPicPr>
      </xdr:nvPicPr>
      <xdr:blipFill>
        <a:blip r:embed="rId300" r:link="rId2"/>
        <a:stretch>
          <a:fillRect/>
        </a:stretch>
      </xdr:blipFill>
      <xdr:spPr>
        <a:xfrm>
          <a:off x="685800" y="3276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4" name="ID_9D7113EE8D204FC0B3D7B8746FE95E7B" descr="咒术师长裤"/>
        <xdr:cNvPicPr>
          <a:picLocks noChangeAspect="1"/>
        </xdr:cNvPicPr>
      </xdr:nvPicPr>
      <xdr:blipFill>
        <a:blip r:embed="rId301" r:link="rId2"/>
        <a:stretch>
          <a:fillRect/>
        </a:stretch>
      </xdr:blipFill>
      <xdr:spPr>
        <a:xfrm>
          <a:off x="685800" y="3448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5" name="ID_4A0B501F1DB4428FB7206E9D102A209C" descr="宫廷魔法师长裤"/>
        <xdr:cNvPicPr>
          <a:picLocks noChangeAspect="1"/>
        </xdr:cNvPicPr>
      </xdr:nvPicPr>
      <xdr:blipFill>
        <a:blip r:embed="rId302" r:link="rId2"/>
        <a:stretch>
          <a:fillRect/>
        </a:stretch>
      </xdr:blipFill>
      <xdr:spPr>
        <a:xfrm>
          <a:off x="685800" y="3619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6" name="ID_0805F078496E4877A14D2D6275F4DCD4" descr="魔法师长裤"/>
        <xdr:cNvPicPr>
          <a:picLocks noChangeAspect="1"/>
        </xdr:cNvPicPr>
      </xdr:nvPicPr>
      <xdr:blipFill>
        <a:blip r:embed="rId303" r:link="rId2"/>
        <a:stretch>
          <a:fillRect/>
        </a:stretch>
      </xdr:blipFill>
      <xdr:spPr>
        <a:xfrm>
          <a:off x="685800" y="3924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7" name="ID_972906DBE8424809BBB43D7987C7ABD9" descr="圣职长裤"/>
        <xdr:cNvPicPr>
          <a:picLocks noChangeAspect="1"/>
        </xdr:cNvPicPr>
      </xdr:nvPicPr>
      <xdr:blipFill>
        <a:blip r:embed="rId304" r:link="rId2"/>
        <a:stretch>
          <a:fillRect/>
        </a:stretch>
      </xdr:blipFill>
      <xdr:spPr>
        <a:xfrm>
          <a:off x="685800" y="40957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8" name="ID_474C1C09BC5F4C6F94488919138BDD25" descr="亡命士兵长裤"/>
        <xdr:cNvPicPr>
          <a:picLocks noChangeAspect="1"/>
        </xdr:cNvPicPr>
      </xdr:nvPicPr>
      <xdr:blipFill>
        <a:blip r:embed="rId305" r:link="rId2"/>
        <a:stretch>
          <a:fillRect/>
        </a:stretch>
      </xdr:blipFill>
      <xdr:spPr>
        <a:xfrm>
          <a:off x="685800" y="4267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9" name="ID_548C7DA03E8E47B6B973ED825F62316A" descr="狱卒长裤"/>
        <xdr:cNvPicPr>
          <a:picLocks noChangeAspect="1"/>
        </xdr:cNvPicPr>
      </xdr:nvPicPr>
      <xdr:blipFill>
        <a:blip r:embed="rId306" r:link="rId2"/>
        <a:stretch>
          <a:fillRect/>
        </a:stretch>
      </xdr:blipFill>
      <xdr:spPr>
        <a:xfrm>
          <a:off x="685800" y="4572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0" name="ID_BE04BA2963434455AF9F381E54972285" descr="守墓人围裙"/>
        <xdr:cNvPicPr>
          <a:picLocks noChangeAspect="1"/>
        </xdr:cNvPicPr>
      </xdr:nvPicPr>
      <xdr:blipFill>
        <a:blip r:embed="rId307" r:link="rId2"/>
        <a:stretch>
          <a:fillRect/>
        </a:stretch>
      </xdr:blipFill>
      <xdr:spPr>
        <a:xfrm>
          <a:off x="685800" y="4743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1" name="ID_68F3FD50398F41F48E9CB674F570BE10" descr="工作用长裤"/>
        <xdr:cNvPicPr>
          <a:picLocks noChangeAspect="1"/>
        </xdr:cNvPicPr>
      </xdr:nvPicPr>
      <xdr:blipFill>
        <a:blip r:embed="rId308" r:link="rId2"/>
        <a:stretch>
          <a:fillRect/>
        </a:stretch>
      </xdr:blipFill>
      <xdr:spPr>
        <a:xfrm>
          <a:off x="685800" y="4914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2" name="ID_34D0CC9459A0489BB4788E959B5BAD98" descr="导师长裤"/>
        <xdr:cNvPicPr>
          <a:picLocks noChangeAspect="1"/>
        </xdr:cNvPicPr>
      </xdr:nvPicPr>
      <xdr:blipFill>
        <a:blip r:embed="rId309" r:link="rId2"/>
        <a:stretch>
          <a:fillRect/>
        </a:stretch>
      </xdr:blipFill>
      <xdr:spPr>
        <a:xfrm>
          <a:off x="685800" y="5086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3" name="ID_96DE484550C4400A974A9FD9991E1003" descr="羽翼骑士腿甲"/>
        <xdr:cNvPicPr>
          <a:picLocks noChangeAspect="1"/>
        </xdr:cNvPicPr>
      </xdr:nvPicPr>
      <xdr:blipFill>
        <a:blip r:embed="rId310" r:link="rId2"/>
        <a:stretch>
          <a:fillRect/>
        </a:stretch>
      </xdr:blipFill>
      <xdr:spPr>
        <a:xfrm>
          <a:off x="685800" y="5257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4" name="ID_54B9839AE0404A10A7415C5BA550A253" descr="教堂骑士腿甲"/>
        <xdr:cNvPicPr>
          <a:picLocks noChangeAspect="1"/>
        </xdr:cNvPicPr>
      </xdr:nvPicPr>
      <xdr:blipFill>
        <a:blip r:embed="rId311" r:link="rId2"/>
        <a:stretch>
          <a:fillRect/>
        </a:stretch>
      </xdr:blipFill>
      <xdr:spPr>
        <a:xfrm>
          <a:off x="685800" y="5562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5" name="ID_EEC737B1E6FD4080A4CA775257A0D799" descr="洛斯里克骑士腿甲"/>
        <xdr:cNvPicPr>
          <a:picLocks noChangeAspect="1"/>
        </xdr:cNvPicPr>
      </xdr:nvPicPr>
      <xdr:blipFill>
        <a:blip r:embed="rId312" r:link="rId2"/>
        <a:stretch>
          <a:fillRect/>
        </a:stretch>
      </xdr:blipFill>
      <xdr:spPr>
        <a:xfrm>
          <a:off x="685800" y="5867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6" name="ID_6CF5D6EF25384738B996067660D9DFCC" descr="征战骑士腿甲"/>
        <xdr:cNvPicPr>
          <a:picLocks noChangeAspect="1"/>
        </xdr:cNvPicPr>
      </xdr:nvPicPr>
      <xdr:blipFill>
        <a:blip r:embed="rId313" r:link="rId2"/>
        <a:stretch>
          <a:fillRect/>
        </a:stretch>
      </xdr:blipFill>
      <xdr:spPr>
        <a:xfrm>
          <a:off x="685800" y="6172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7" name="ID_C9A03C6234B44680B21CDBADEA54CE7F" descr="黑骑士腿甲"/>
        <xdr:cNvPicPr>
          <a:picLocks noChangeAspect="1"/>
        </xdr:cNvPicPr>
      </xdr:nvPicPr>
      <xdr:blipFill>
        <a:blip r:embed="rId314" r:link="rId2"/>
        <a:stretch>
          <a:fillRect/>
        </a:stretch>
      </xdr:blipFill>
      <xdr:spPr>
        <a:xfrm>
          <a:off x="685800" y="6477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8" name="ID_DB090B47E7D546F08436562148723DC0" descr="流放者腿甲"/>
        <xdr:cNvPicPr>
          <a:picLocks noChangeAspect="1"/>
        </xdr:cNvPicPr>
      </xdr:nvPicPr>
      <xdr:blipFill>
        <a:blip r:embed="rId315" r:link="rId2"/>
        <a:stretch>
          <a:fillRect/>
        </a:stretch>
      </xdr:blipFill>
      <xdr:spPr>
        <a:xfrm>
          <a:off x="685800" y="6648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9" name="ID_56AA656C48B141EC94653B521FDBB12E" descr="教宗骑士腿甲"/>
        <xdr:cNvPicPr>
          <a:picLocks noChangeAspect="1"/>
        </xdr:cNvPicPr>
      </xdr:nvPicPr>
      <xdr:blipFill>
        <a:blip r:embed="rId316" r:link="rId2"/>
        <a:stretch>
          <a:fillRect/>
        </a:stretch>
      </xdr:blipFill>
      <xdr:spPr>
        <a:xfrm>
          <a:off x="685800" y="6819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0" name="ID_C2FF7C9C8F8B4A7C9995967B7157BBE8" descr="龙鳞围裙"/>
        <xdr:cNvPicPr>
          <a:picLocks noChangeAspect="1"/>
        </xdr:cNvPicPr>
      </xdr:nvPicPr>
      <xdr:blipFill>
        <a:blip r:embed="rId317" r:link="rId2"/>
        <a:stretch>
          <a:fillRect/>
        </a:stretch>
      </xdr:blipFill>
      <xdr:spPr>
        <a:xfrm>
          <a:off x="685800" y="7124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1" name="ID_3C5AC145DE9E44698CCEA7B88A2D4116" descr="不死队腿甲"/>
        <xdr:cNvPicPr>
          <a:picLocks noChangeAspect="1"/>
        </xdr:cNvPicPr>
      </xdr:nvPicPr>
      <xdr:blipFill>
        <a:blip r:embed="rId318" r:link="rId2"/>
        <a:stretch>
          <a:fillRect/>
        </a:stretch>
      </xdr:blipFill>
      <xdr:spPr>
        <a:xfrm>
          <a:off x="685800" y="7296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2" name="ID_856DD82D0B9442AB87E78B4265AC4410" descr="火焰魔女腿甲"/>
        <xdr:cNvPicPr>
          <a:picLocks noChangeAspect="1"/>
        </xdr:cNvPicPr>
      </xdr:nvPicPr>
      <xdr:blipFill>
        <a:blip r:embed="rId319" r:link="rId2"/>
        <a:stretch>
          <a:fillRect/>
        </a:stretch>
      </xdr:blipFill>
      <xdr:spPr>
        <a:xfrm>
          <a:off x="685800" y="7467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3" name="ID_2165BC9A7781436E97A316C6356BE103" descr="洛里安腿甲"/>
        <xdr:cNvPicPr>
          <a:picLocks noChangeAspect="1"/>
        </xdr:cNvPicPr>
      </xdr:nvPicPr>
      <xdr:blipFill>
        <a:blip r:embed="rId319" r:link="rId2"/>
        <a:stretch>
          <a:fillRect/>
        </a:stretch>
      </xdr:blipFill>
      <xdr:spPr>
        <a:xfrm>
          <a:off x="685800" y="7772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4" name="ID_06F72E84CBDE4C5998BD6F3B0D719638" descr="祈祷围裙"/>
        <xdr:cNvPicPr>
          <a:picLocks noChangeAspect="1"/>
        </xdr:cNvPicPr>
      </xdr:nvPicPr>
      <xdr:blipFill>
        <a:blip r:embed="rId320" r:link="rId2"/>
        <a:stretch>
          <a:fillRect/>
        </a:stretch>
      </xdr:blipFill>
      <xdr:spPr>
        <a:xfrm>
          <a:off x="685800" y="7943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5" name="ID_4534120C218A4201835AB2ED08D7E669" descr="舞娘腿甲"/>
        <xdr:cNvPicPr>
          <a:picLocks noChangeAspect="1"/>
        </xdr:cNvPicPr>
      </xdr:nvPicPr>
      <xdr:blipFill>
        <a:blip r:embed="rId321" r:link="rId2"/>
        <a:stretch>
          <a:fillRect/>
        </a:stretch>
      </xdr:blipFill>
      <xdr:spPr>
        <a:xfrm>
          <a:off x="685800" y="8115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6" name="ID_44A6ADB5E3E44686B1009A0D4C727819" descr="古达腿甲"/>
        <xdr:cNvPicPr>
          <a:picLocks noChangeAspect="1"/>
        </xdr:cNvPicPr>
      </xdr:nvPicPr>
      <xdr:blipFill>
        <a:blip r:embed="rId322" r:link="rId2"/>
        <a:stretch>
          <a:fillRect/>
        </a:stretch>
      </xdr:blipFill>
      <xdr:spPr>
        <a:xfrm>
          <a:off x="685800" y="8286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7" name="ID_BBE0B9CEC5264971A985A54B2D032A80" descr="大主教围裙"/>
        <xdr:cNvPicPr>
          <a:picLocks noChangeAspect="1"/>
        </xdr:cNvPicPr>
      </xdr:nvPicPr>
      <xdr:blipFill>
        <a:blip r:embed="rId323" r:link="rId2"/>
        <a:stretch>
          <a:fillRect/>
        </a:stretch>
      </xdr:blipFill>
      <xdr:spPr>
        <a:xfrm>
          <a:off x="685800" y="8458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8" name="ID_52B61555CCFD43D889478AB641E17FAB" descr="主教围裙"/>
        <xdr:cNvPicPr>
          <a:picLocks noChangeAspect="1"/>
        </xdr:cNvPicPr>
      </xdr:nvPicPr>
      <xdr:blipFill>
        <a:blip r:embed="rId324" r:link="rId2"/>
        <a:stretch>
          <a:fillRect/>
        </a:stretch>
      </xdr:blipFill>
      <xdr:spPr>
        <a:xfrm>
          <a:off x="685800" y="8629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9" name="ID_A26609CAB3004EE38691633AE59083B5" descr="防火女裙子"/>
        <xdr:cNvPicPr>
          <a:picLocks noChangeAspect="1"/>
        </xdr:cNvPicPr>
      </xdr:nvPicPr>
      <xdr:blipFill>
        <a:blip r:embed="rId325" r:link="rId2"/>
        <a:stretch>
          <a:fillRect/>
        </a:stretch>
      </xdr:blipFill>
      <xdr:spPr>
        <a:xfrm>
          <a:off x="685800" y="8801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0" name="ID_C4E4F9DB23FD4D9E970B28253669D4CA" descr="锁子腿甲"/>
        <xdr:cNvPicPr>
          <a:picLocks noChangeAspect="1"/>
        </xdr:cNvPicPr>
      </xdr:nvPicPr>
      <xdr:blipFill>
        <a:blip r:embed="rId326" r:link="rId2"/>
        <a:stretch>
          <a:fillRect/>
        </a:stretch>
      </xdr:blipFill>
      <xdr:spPr>
        <a:xfrm>
          <a:off x="685800" y="89725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1" name="ID_C78F374B2C22403FB653CABB2E5113A4" descr="无名骑士腿甲"/>
        <xdr:cNvPicPr>
          <a:picLocks noChangeAspect="1"/>
        </xdr:cNvPicPr>
      </xdr:nvPicPr>
      <xdr:blipFill>
        <a:blip r:embed="rId327" r:link="rId2"/>
        <a:stretch>
          <a:fillRect/>
        </a:stretch>
      </xdr:blipFill>
      <xdr:spPr>
        <a:xfrm>
          <a:off x="685800" y="9144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2" name="ID_F8F43BB4ED454397875E1B9C52832413" descr="上级骑士腿甲"/>
        <xdr:cNvPicPr>
          <a:picLocks noChangeAspect="1"/>
        </xdr:cNvPicPr>
      </xdr:nvPicPr>
      <xdr:blipFill>
        <a:blip r:embed="rId328" r:link="rId2"/>
        <a:stretch>
          <a:fillRect/>
        </a:stretch>
      </xdr:blipFill>
      <xdr:spPr>
        <a:xfrm>
          <a:off x="685800" y="9448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3" name="ID_29DD90F219764EA39894D9C7451EDC0F" descr="法汉靴子"/>
        <xdr:cNvPicPr>
          <a:picLocks noChangeAspect="1"/>
        </xdr:cNvPicPr>
      </xdr:nvPicPr>
      <xdr:blipFill>
        <a:blip r:embed="rId329" r:link="rId2"/>
        <a:stretch>
          <a:fillRect/>
        </a:stretch>
      </xdr:blipFill>
      <xdr:spPr>
        <a:xfrm>
          <a:off x="685800" y="9753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4" name="ID_17C27FAFF5AA49C794ABAD08D92106AF" descr="卡塔利纳护腿"/>
        <xdr:cNvPicPr>
          <a:picLocks noChangeAspect="1"/>
        </xdr:cNvPicPr>
      </xdr:nvPicPr>
      <xdr:blipFill>
        <a:blip r:embed="rId330" r:link="rId2"/>
        <a:stretch>
          <a:fillRect/>
        </a:stretch>
      </xdr:blipFill>
      <xdr:spPr>
        <a:xfrm>
          <a:off x="685800" y="9925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5" name="ID_134642D5DB804D4F871C8639D5918494" descr="硬皮靴子"/>
        <xdr:cNvPicPr>
          <a:picLocks noChangeAspect="1"/>
        </xdr:cNvPicPr>
      </xdr:nvPicPr>
      <xdr:blipFill>
        <a:blip r:embed="rId331" r:link="rId2"/>
        <a:stretch>
          <a:fillRect/>
        </a:stretch>
      </xdr:blipFill>
      <xdr:spPr>
        <a:xfrm>
          <a:off x="685800" y="102298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6" name="ID_B5C40A9A2D024529812462F0356CD89D" descr="哈维尔腿甲"/>
        <xdr:cNvPicPr>
          <a:picLocks noChangeAspect="1"/>
        </xdr:cNvPicPr>
      </xdr:nvPicPr>
      <xdr:blipFill>
        <a:blip r:embed="rId332" r:link="rId2"/>
        <a:stretch>
          <a:fillRect/>
        </a:stretch>
      </xdr:blipFill>
      <xdr:spPr>
        <a:xfrm>
          <a:off x="685800" y="10401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7" name="ID_85396DC49EE84BF7B60C7D4CAB438300" descr="山贼长裤"/>
        <xdr:cNvPicPr>
          <a:picLocks noChangeAspect="1"/>
        </xdr:cNvPicPr>
      </xdr:nvPicPr>
      <xdr:blipFill>
        <a:blip r:embed="rId333" r:link="rId2"/>
        <a:stretch>
          <a:fillRect/>
        </a:stretch>
      </xdr:blipFill>
      <xdr:spPr>
        <a:xfrm>
          <a:off x="685800" y="105727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8" name="ID_C72693815FE14F79A11D4B7E361BA41E" descr="皮靴子"/>
        <xdr:cNvPicPr>
          <a:picLocks noChangeAspect="1"/>
        </xdr:cNvPicPr>
      </xdr:nvPicPr>
      <xdr:blipFill>
        <a:blip r:embed="rId334" r:link="rId2"/>
        <a:stretch>
          <a:fillRect/>
        </a:stretch>
      </xdr:blipFill>
      <xdr:spPr>
        <a:xfrm>
          <a:off x="685800" y="107442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9" name="ID_542EF28193344C31BA39BE1C9750E2FC" descr="遮羞布"/>
        <xdr:cNvPicPr>
          <a:picLocks noChangeAspect="1"/>
        </xdr:cNvPicPr>
      </xdr:nvPicPr>
      <xdr:blipFill>
        <a:blip r:embed="rId335" r:link="rId2"/>
        <a:stretch>
          <a:fillRect/>
        </a:stretch>
      </xdr:blipFill>
      <xdr:spPr>
        <a:xfrm>
          <a:off x="685800" y="10915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0" name="ID_B0AA3353E60F42A686148C2653BC5179" descr="古老魔法师靴子"/>
        <xdr:cNvPicPr>
          <a:picLocks noChangeAspect="1"/>
        </xdr:cNvPicPr>
      </xdr:nvPicPr>
      <xdr:blipFill>
        <a:blip r:embed="rId336" r:link="rId2"/>
        <a:stretch>
          <a:fillRect/>
        </a:stretch>
      </xdr:blipFill>
      <xdr:spPr>
        <a:xfrm>
          <a:off x="685800" y="110871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1" name="ID_2540EB0C0A414153B4E7CFF85E6D79A5" descr="诅咒师靴子"/>
        <xdr:cNvPicPr>
          <a:picLocks noChangeAspect="1"/>
        </xdr:cNvPicPr>
      </xdr:nvPicPr>
      <xdr:blipFill>
        <a:blip r:embed="rId337" r:link="rId2"/>
        <a:stretch>
          <a:fillRect/>
        </a:stretch>
      </xdr:blipFill>
      <xdr:spPr>
        <a:xfrm>
          <a:off x="685800" y="113919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2" name="ID_8B4E2D04EFEB4B9D887AF99DDC2BCD45" descr="黑皮靴子"/>
        <xdr:cNvPicPr>
          <a:picLocks noChangeAspect="1"/>
        </xdr:cNvPicPr>
      </xdr:nvPicPr>
      <xdr:blipFill>
        <a:blip r:embed="rId338" r:link="rId2"/>
        <a:stretch>
          <a:fillRect/>
        </a:stretch>
      </xdr:blipFill>
      <xdr:spPr>
        <a:xfrm>
          <a:off x="685800" y="115633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3" name="ID_A853B108AA64406B8132A62DB97A5B75" descr="米勒锁子腿甲"/>
        <xdr:cNvPicPr>
          <a:picLocks noChangeAspect="1"/>
        </xdr:cNvPicPr>
      </xdr:nvPicPr>
      <xdr:blipFill>
        <a:blip r:embed="rId339" r:link="rId2"/>
        <a:stretch>
          <a:fillRect/>
        </a:stretch>
      </xdr:blipFill>
      <xdr:spPr>
        <a:xfrm>
          <a:off x="685800" y="11734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4" name="ID_040171DB245F4B72B737B892DBE6C261" descr="圣女围裙"/>
        <xdr:cNvPicPr>
          <a:picLocks noChangeAspect="1"/>
        </xdr:cNvPicPr>
      </xdr:nvPicPr>
      <xdr:blipFill>
        <a:blip r:embed="rId340" r:link="rId2"/>
        <a:stretch>
          <a:fillRect/>
        </a:stretch>
      </xdr:blipFill>
      <xdr:spPr>
        <a:xfrm>
          <a:off x="685800" y="1203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5" name="ID_131505D97C7048AEA7FA0BC48D8E00E8" descr="亚瓦腿甲"/>
        <xdr:cNvPicPr>
          <a:picLocks noChangeAspect="1"/>
        </xdr:cNvPicPr>
      </xdr:nvPicPr>
      <xdr:blipFill>
        <a:blip r:embed="rId341" r:link="rId2"/>
        <a:stretch>
          <a:fillRect/>
        </a:stretch>
      </xdr:blipFill>
      <xdr:spPr>
        <a:xfrm>
          <a:off x="685800" y="1221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6" name="ID_D8F7AC30C35247279FA7763A1DBBDD19" descr="黑影腿甲"/>
        <xdr:cNvPicPr>
          <a:picLocks noChangeAspect="1"/>
        </xdr:cNvPicPr>
      </xdr:nvPicPr>
      <xdr:blipFill>
        <a:blip r:embed="rId342" r:link="rId2"/>
        <a:stretch>
          <a:fillRect/>
        </a:stretch>
      </xdr:blipFill>
      <xdr:spPr>
        <a:xfrm>
          <a:off x="685800" y="123825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7" name="ID_BDDA99D71CD547E7A058C4FBD23F2CD5" descr="东方腿甲"/>
        <xdr:cNvPicPr>
          <a:picLocks noChangeAspect="1"/>
        </xdr:cNvPicPr>
      </xdr:nvPicPr>
      <xdr:blipFill>
        <a:blip r:embed="rId343" r:link="rId2"/>
        <a:stretch>
          <a:fillRect/>
        </a:stretch>
      </xdr:blipFill>
      <xdr:spPr>
        <a:xfrm>
          <a:off x="685800" y="1255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8" name="ID_4A184BEACA104B3DB2730AB218C55067" descr="宠爱的腿甲"/>
        <xdr:cNvPicPr>
          <a:picLocks noChangeAspect="1"/>
        </xdr:cNvPicPr>
      </xdr:nvPicPr>
      <xdr:blipFill>
        <a:blip r:embed="rId344" r:link="rId2"/>
        <a:stretch>
          <a:fillRect/>
        </a:stretch>
      </xdr:blipFill>
      <xdr:spPr>
        <a:xfrm>
          <a:off x="685800" y="1272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9" name="ID_7F874BCF8EFE43BEAFA82A73EEF00DDB" descr="黄铜腿甲"/>
        <xdr:cNvPicPr>
          <a:picLocks noChangeAspect="1"/>
        </xdr:cNvPicPr>
      </xdr:nvPicPr>
      <xdr:blipFill>
        <a:blip r:embed="rId345" r:link="rId2"/>
        <a:stretch>
          <a:fillRect/>
        </a:stretch>
      </xdr:blipFill>
      <xdr:spPr>
        <a:xfrm>
          <a:off x="685800" y="1289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0" name="ID_73337CB4673F49A8B67FC5E25C877E43" descr="银骑士腿甲"/>
        <xdr:cNvPicPr>
          <a:picLocks noChangeAspect="1"/>
        </xdr:cNvPicPr>
      </xdr:nvPicPr>
      <xdr:blipFill>
        <a:blip r:embed="rId346" r:link="rId2"/>
        <a:stretch>
          <a:fillRect/>
        </a:stretch>
      </xdr:blipFill>
      <xdr:spPr>
        <a:xfrm>
          <a:off x="685800" y="1306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1" name="ID_F7C679EB9F534A64869EFA0395152698" descr="黑魔女长裤"/>
        <xdr:cNvPicPr>
          <a:picLocks noChangeAspect="1"/>
        </xdr:cNvPicPr>
      </xdr:nvPicPr>
      <xdr:blipFill>
        <a:blip r:embed="rId347" r:link="rId2"/>
        <a:stretch>
          <a:fillRect/>
        </a:stretch>
      </xdr:blipFill>
      <xdr:spPr>
        <a:xfrm>
          <a:off x="685800" y="798385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2" name="ID_5DBCA0E32A43438E941AECFD67E147EE" descr="虚空腿甲"/>
        <xdr:cNvPicPr>
          <a:picLocks noChangeAspect="1"/>
        </xdr:cNvPicPr>
      </xdr:nvPicPr>
      <xdr:blipFill>
        <a:blip r:embed="rId348" r:link="rId2"/>
        <a:stretch>
          <a:fillRect/>
        </a:stretch>
      </xdr:blipFill>
      <xdr:spPr>
        <a:xfrm>
          <a:off x="685800" y="79362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3" name="ID_B028B4CB13B541809C33537CEB05C15F" descr="沙之咒术师裙子"/>
        <xdr:cNvPicPr>
          <a:picLocks noChangeAspect="1"/>
        </xdr:cNvPicPr>
      </xdr:nvPicPr>
      <xdr:blipFill>
        <a:blip r:embed="rId349" r:link="rId2"/>
        <a:stretch>
          <a:fillRect/>
        </a:stretch>
      </xdr:blipFill>
      <xdr:spPr>
        <a:xfrm>
          <a:off x="685800" y="7953375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4" name="ID_B4D8E51535D147CBB0A62FAF90ACE1A1" descr="镕铁猎龙腿甲"/>
        <xdr:cNvPicPr>
          <a:picLocks noChangeAspect="1"/>
        </xdr:cNvPicPr>
      </xdr:nvPicPr>
      <xdr:blipFill>
        <a:blip r:embed="rId350" r:link="rId2"/>
        <a:stretch>
          <a:fillRect/>
        </a:stretch>
      </xdr:blipFill>
      <xdr:spPr>
        <a:xfrm>
          <a:off x="685800" y="79057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5" name="ID_4DF3EA7AFC874964BFE1ECFDD934CACF" descr="环印骑士腿甲"/>
        <xdr:cNvPicPr>
          <a:picLocks noChangeAspect="1"/>
        </xdr:cNvPicPr>
      </xdr:nvPicPr>
      <xdr:blipFill>
        <a:blip r:embed="rId351" r:link="rId2"/>
        <a:stretch>
          <a:fillRect/>
        </a:stretch>
      </xdr:blipFill>
      <xdr:spPr>
        <a:xfrm>
          <a:off x="685800" y="78581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6" name="ID_3FAF7080DD6F42D1900C2210A21AC9B3" descr="哈兰得腿甲"/>
        <xdr:cNvPicPr>
          <a:picLocks noChangeAspect="1"/>
        </xdr:cNvPicPr>
      </xdr:nvPicPr>
      <xdr:blipFill>
        <a:blip r:embed="rId352" r:link="rId2"/>
        <a:stretch>
          <a:fillRect/>
        </a:stretch>
      </xdr:blipFill>
      <xdr:spPr>
        <a:xfrm>
          <a:off x="685800" y="79533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7" name="ID_CC9074120B81468999069EFC1BD6DC85" descr="60px-黑暗铠甲"/>
        <xdr:cNvPicPr>
          <a:picLocks noChangeAspect="1"/>
        </xdr:cNvPicPr>
      </xdr:nvPicPr>
      <xdr:blipFill>
        <a:blip r:embed="rId353"/>
        <a:stretch>
          <a:fillRect/>
        </a:stretch>
      </xdr:blipFill>
      <xdr:spPr>
        <a:xfrm>
          <a:off x="1247775" y="73980675"/>
          <a:ext cx="571500" cy="571500"/>
        </a:xfrm>
        <a:prstGeom prst="rect">
          <a:avLst/>
        </a:prstGeom>
      </xdr:spPr>
    </xdr:pic>
  </etc:cellImage>
  <etc:cellImage>
    <xdr:pic>
      <xdr:nvPicPr>
        <xdr:cNvPr id="538" name="ID_525132A1070B468585C1EC462E121692" descr="60px-黑暗臂甲"/>
        <xdr:cNvPicPr>
          <a:picLocks noChangeAspect="1"/>
        </xdr:cNvPicPr>
      </xdr:nvPicPr>
      <xdr:blipFill>
        <a:blip r:embed="rId354"/>
        <a:stretch>
          <a:fillRect/>
        </a:stretch>
      </xdr:blipFill>
      <xdr:spPr>
        <a:xfrm>
          <a:off x="1066800" y="74961750"/>
          <a:ext cx="571500" cy="571500"/>
        </a:xfrm>
        <a:prstGeom prst="rect">
          <a:avLst/>
        </a:prstGeom>
      </xdr:spPr>
    </xdr:pic>
  </etc:cellImage>
  <etc:cellImage>
    <xdr:pic>
      <xdr:nvPicPr>
        <xdr:cNvPr id="539" name="ID_FAE5486709AB435699FB2235F853D145" descr="60px-黑暗腿甲"/>
        <xdr:cNvPicPr>
          <a:picLocks noChangeAspect="1"/>
        </xdr:cNvPicPr>
      </xdr:nvPicPr>
      <xdr:blipFill>
        <a:blip r:embed="rId355"/>
        <a:stretch>
          <a:fillRect/>
        </a:stretch>
      </xdr:blipFill>
      <xdr:spPr>
        <a:xfrm>
          <a:off x="962025" y="76009500"/>
          <a:ext cx="571500" cy="571500"/>
        </a:xfrm>
        <a:prstGeom prst="rect">
          <a:avLst/>
        </a:prstGeom>
      </xdr:spPr>
    </xdr:pic>
  </etc:cellImage>
  <etc:cellImage>
    <xdr:pic>
      <xdr:nvPicPr>
        <xdr:cNvPr id="540" name="ID_B8668CBC62E34C0F972FEAD02C49DD09" descr="卡塔利纳护臂"/>
        <xdr:cNvPicPr>
          <a:picLocks noChangeAspect="1"/>
        </xdr:cNvPicPr>
      </xdr:nvPicPr>
      <xdr:blipFill>
        <a:blip r:embed="rId356" r:link="rId2"/>
        <a:stretch>
          <a:fillRect/>
        </a:stretch>
      </xdr:blipFill>
      <xdr:spPr>
        <a:xfrm>
          <a:off x="1104900" y="13049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1" name="ID_18454504FF1B425894AA57CF1552E55B" descr="洛斯里克骑士臂甲"/>
        <xdr:cNvPicPr>
          <a:picLocks noChangeAspect="1"/>
        </xdr:cNvPicPr>
      </xdr:nvPicPr>
      <xdr:blipFill>
        <a:blip r:embed="rId357" r:link="rId2"/>
        <a:stretch>
          <a:fillRect/>
        </a:stretch>
      </xdr:blipFill>
      <xdr:spPr>
        <a:xfrm>
          <a:off x="1104900" y="16859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2" name="ID_236FEC1A2808424BADF29E9A12BBC324" descr="银骑士铠甲"/>
        <xdr:cNvPicPr>
          <a:picLocks noChangeAspect="1"/>
        </xdr:cNvPicPr>
      </xdr:nvPicPr>
      <xdr:blipFill>
        <a:blip r:embed="rId358" r:link="rId2"/>
        <a:stretch>
          <a:fillRect/>
        </a:stretch>
      </xdr:blipFill>
      <xdr:spPr>
        <a:xfrm>
          <a:off x="1104900" y="27146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3" name="ID_9E669B435A7E4D2CA2FC838FAE5BC136" descr="兜裆布"/>
        <xdr:cNvPicPr>
          <a:picLocks noChangeAspect="1"/>
        </xdr:cNvPicPr>
      </xdr:nvPicPr>
      <xdr:blipFill>
        <a:blip r:embed="rId359" r:link="rId2"/>
        <a:stretch>
          <a:fillRect/>
        </a:stretch>
      </xdr:blipFill>
      <xdr:spPr>
        <a:xfrm>
          <a:off x="1104900" y="303847500"/>
          <a:ext cx="1905000" cy="3810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4" name="ID_0ABEA46A865D4B16A03F91340C3FC76B" descr="60px-硬皮护甲"/>
        <xdr:cNvPicPr>
          <a:picLocks noChangeAspect="1"/>
        </xdr:cNvPicPr>
      </xdr:nvPicPr>
      <xdr:blipFill>
        <a:blip r:embed="rId360"/>
        <a:stretch>
          <a:fillRect/>
        </a:stretch>
      </xdr:blipFill>
      <xdr:spPr>
        <a:xfrm>
          <a:off x="1790700" y="324269100"/>
          <a:ext cx="571500" cy="571500"/>
        </a:xfrm>
        <a:prstGeom prst="rect">
          <a:avLst/>
        </a:prstGeom>
      </xdr:spPr>
    </xdr:pic>
  </etc:cellImage>
  <etc:cellImage>
    <xdr:pic>
      <xdr:nvPicPr>
        <xdr:cNvPr id="119" name="ID_86118FA6D475444CA3C4EB88EC6362EC" descr="约亚戒指（删减内容）"/>
        <xdr:cNvPicPr>
          <a:picLocks noChangeAspect="1"/>
        </xdr:cNvPicPr>
      </xdr:nvPicPr>
      <xdr:blipFill>
        <a:blip r:embed="rId361" r:link="rId2"/>
        <a:stretch>
          <a:fillRect/>
        </a:stretch>
      </xdr:blipFill>
      <xdr:spPr>
        <a:xfrm>
          <a:off x="685800" y="51377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8" name="ID_BD4072BB5CC34E25A65BCE11BEDD9318" descr="宝贵牺牲戒指（删减内容）"/>
        <xdr:cNvPicPr>
          <a:picLocks noChangeAspect="1"/>
        </xdr:cNvPicPr>
      </xdr:nvPicPr>
      <xdr:blipFill>
        <a:blip r:embed="rId362" r:link="rId2"/>
        <a:stretch>
          <a:fillRect/>
        </a:stretch>
      </xdr:blipFill>
      <xdr:spPr>
        <a:xfrm>
          <a:off x="685800" y="50768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7" name="ID_31F1AD3945A34836A6E746A809B0067D" descr="牺牲戒指"/>
        <xdr:cNvPicPr>
          <a:picLocks noChangeAspect="1"/>
        </xdr:cNvPicPr>
      </xdr:nvPicPr>
      <xdr:blipFill>
        <a:blip r:embed="rId363" r:link="rId2"/>
        <a:stretch>
          <a:fillRect/>
        </a:stretch>
      </xdr:blipFill>
      <xdr:spPr>
        <a:xfrm>
          <a:off x="685800" y="5015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6" name="ID_7C35D2225D16483695BEC0AF71187929" descr="灾难戒指"/>
        <xdr:cNvPicPr>
          <a:picLocks noChangeAspect="1"/>
        </xdr:cNvPicPr>
      </xdr:nvPicPr>
      <xdr:blipFill>
        <a:blip r:embed="rId364" r:link="rId2"/>
        <a:stretch>
          <a:fillRect/>
        </a:stretch>
      </xdr:blipFill>
      <xdr:spPr>
        <a:xfrm>
          <a:off x="685800" y="49853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5" name="ID_8EB8567E8FF44988A6D9AC59FD961CAB" descr="头盖骨戒指"/>
        <xdr:cNvPicPr>
          <a:picLocks noChangeAspect="1"/>
        </xdr:cNvPicPr>
      </xdr:nvPicPr>
      <xdr:blipFill>
        <a:blip r:embed="rId365" r:link="rId2"/>
        <a:stretch>
          <a:fillRect/>
        </a:stretch>
      </xdr:blipFill>
      <xdr:spPr>
        <a:xfrm>
          <a:off x="685800" y="49549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4" name="ID_048D6E872BC248F1AA5FE3C62A32D783" descr="化生戒指"/>
        <xdr:cNvPicPr>
          <a:picLocks noChangeAspect="1"/>
        </xdr:cNvPicPr>
      </xdr:nvPicPr>
      <xdr:blipFill>
        <a:blip r:embed="rId366" r:link="rId2"/>
        <a:stretch>
          <a:fillRect/>
        </a:stretch>
      </xdr:blipFill>
      <xdr:spPr>
        <a:xfrm>
          <a:off x="685800" y="49244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3" name="ID_82496B5267F844A2B74A36FDE829C722" descr="白色伪装戒指"/>
        <xdr:cNvPicPr>
          <a:picLocks noChangeAspect="1"/>
        </xdr:cNvPicPr>
      </xdr:nvPicPr>
      <xdr:blipFill>
        <a:blip r:embed="rId367" r:link="rId2"/>
        <a:stretch>
          <a:fillRect/>
        </a:stretch>
      </xdr:blipFill>
      <xdr:spPr>
        <a:xfrm>
          <a:off x="685800" y="48939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2" name="ID_E109C53578B04611BF4EA837300A6C47" descr="暗色伪装戒指"/>
        <xdr:cNvPicPr>
          <a:picLocks noChangeAspect="1"/>
        </xdr:cNvPicPr>
      </xdr:nvPicPr>
      <xdr:blipFill>
        <a:blip r:embed="rId368" r:link="rId2"/>
        <a:stretch>
          <a:fillRect/>
        </a:stretch>
      </xdr:blipFill>
      <xdr:spPr>
        <a:xfrm>
          <a:off x="685800" y="48634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1" name="ID_5F04037C72154C89A6D131856817810B" descr="幻肢戒指"/>
        <xdr:cNvPicPr>
          <a:picLocks noChangeAspect="1"/>
        </xdr:cNvPicPr>
      </xdr:nvPicPr>
      <xdr:blipFill>
        <a:blip r:embed="rId369" r:link="rId2"/>
        <a:stretch>
          <a:fillRect/>
        </a:stretch>
      </xdr:blipFill>
      <xdr:spPr>
        <a:xfrm>
          <a:off x="685800" y="4817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0" name="ID_C078EB98BCE749239906BA408A04ED1B" descr="沉眠龙徽戒指"/>
        <xdr:cNvPicPr>
          <a:picLocks noChangeAspect="1"/>
        </xdr:cNvPicPr>
      </xdr:nvPicPr>
      <xdr:blipFill>
        <a:blip r:embed="rId370" r:link="rId2"/>
        <a:stretch>
          <a:fillRect/>
        </a:stretch>
      </xdr:blipFill>
      <xdr:spPr>
        <a:xfrm>
          <a:off x="685800" y="47872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9" name="ID_799C3057F2FF4117AAC07C4D46F8B179" descr="银猫戒指"/>
        <xdr:cNvPicPr>
          <a:picLocks noChangeAspect="1"/>
        </xdr:cNvPicPr>
      </xdr:nvPicPr>
      <xdr:blipFill>
        <a:blip r:embed="rId371" r:link="rId2"/>
        <a:stretch>
          <a:fillRect/>
        </a:stretch>
      </xdr:blipFill>
      <xdr:spPr>
        <a:xfrm>
          <a:off x="685800" y="47567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8" name="ID_8E912411C43441FDBEC9E2AC07C6FBE0" descr="艾尔德利奇蓝石"/>
        <xdr:cNvPicPr>
          <a:picLocks noChangeAspect="1"/>
        </xdr:cNvPicPr>
      </xdr:nvPicPr>
      <xdr:blipFill>
        <a:blip r:embed="rId372" r:link="rId2"/>
        <a:stretch>
          <a:fillRect/>
        </a:stretch>
      </xdr:blipFill>
      <xdr:spPr>
        <a:xfrm>
          <a:off x="685800" y="47110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7" name="ID_ABC7E6ED9C60420CAEDE5390ECD6DF43" descr="艾尔德利奇红石"/>
        <xdr:cNvPicPr>
          <a:picLocks noChangeAspect="1"/>
        </xdr:cNvPicPr>
      </xdr:nvPicPr>
      <xdr:blipFill>
        <a:blip r:embed="rId373" r:link="rId2"/>
        <a:stretch>
          <a:fillRect/>
        </a:stretch>
      </xdr:blipFill>
      <xdr:spPr>
        <a:xfrm>
          <a:off x="685800" y="46805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6" name="ID_6CB619A502D74A92B5DCB0739DD65B59" descr="教宗左眼"/>
        <xdr:cNvPicPr>
          <a:picLocks noChangeAspect="1"/>
        </xdr:cNvPicPr>
      </xdr:nvPicPr>
      <xdr:blipFill>
        <a:blip r:embed="rId374" r:link="rId2"/>
        <a:stretch>
          <a:fillRect/>
        </a:stretch>
      </xdr:blipFill>
      <xdr:spPr>
        <a:xfrm>
          <a:off x="685800" y="4650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5" name="ID_5AF74664694E4A3BB3AF3EDFBF0C910D" descr="教宗右眼"/>
        <xdr:cNvPicPr>
          <a:picLocks noChangeAspect="1"/>
        </xdr:cNvPicPr>
      </xdr:nvPicPr>
      <xdr:blipFill>
        <a:blip r:embed="rId375" r:link="rId2"/>
        <a:stretch>
          <a:fillRect/>
        </a:stretch>
      </xdr:blipFill>
      <xdr:spPr>
        <a:xfrm>
          <a:off x="685800" y="45891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4" name="ID_4D770FF08CDF47BAA9F96658822C3B1E" descr="卡萨斯血环"/>
        <xdr:cNvPicPr>
          <a:picLocks noChangeAspect="1"/>
        </xdr:cNvPicPr>
      </xdr:nvPicPr>
      <xdr:blipFill>
        <a:blip r:embed="rId376" r:link="rId2"/>
        <a:stretch>
          <a:fillRect/>
        </a:stretch>
      </xdr:blipFill>
      <xdr:spPr>
        <a:xfrm>
          <a:off x="685800" y="45281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3" name="ID_187F64CE966C4BB298395955067C2524" descr="卡萨斯乳白戒指"/>
        <xdr:cNvPicPr>
          <a:picLocks noChangeAspect="1"/>
        </xdr:cNvPicPr>
      </xdr:nvPicPr>
      <xdr:blipFill>
        <a:blip r:embed="rId377" r:link="rId2"/>
        <a:stretch>
          <a:fillRect/>
        </a:stretch>
      </xdr:blipFill>
      <xdr:spPr>
        <a:xfrm>
          <a:off x="685800" y="44672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2" name="ID_4A35FA6E62E64A8FAFCBF7A52C22E091" descr="洛伊德盾徽戒指"/>
        <xdr:cNvPicPr>
          <a:picLocks noChangeAspect="1"/>
        </xdr:cNvPicPr>
      </xdr:nvPicPr>
      <xdr:blipFill>
        <a:blip r:embed="rId378" r:link="rId2"/>
        <a:stretch>
          <a:fillRect/>
        </a:stretch>
      </xdr:blipFill>
      <xdr:spPr>
        <a:xfrm>
          <a:off x="685800" y="44215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1" name="ID_2486DD9864D743B69B509A8843AB2F33" descr="洛伊德剑徽戒指"/>
        <xdr:cNvPicPr>
          <a:picLocks noChangeAspect="1"/>
        </xdr:cNvPicPr>
      </xdr:nvPicPr>
      <xdr:blipFill>
        <a:blip r:embed="rId379" r:link="rId2"/>
        <a:stretch>
          <a:fillRect/>
        </a:stretch>
      </xdr:blipFill>
      <xdr:spPr>
        <a:xfrm>
          <a:off x="685800" y="43757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0" name="ID_77353183EFCB45919DB2681F94E8FE03" descr="蓝泪石戒指"/>
        <xdr:cNvPicPr>
          <a:picLocks noChangeAspect="1"/>
        </xdr:cNvPicPr>
      </xdr:nvPicPr>
      <xdr:blipFill>
        <a:blip r:embed="rId380" r:link="rId2"/>
        <a:stretch>
          <a:fillRect/>
        </a:stretch>
      </xdr:blipFill>
      <xdr:spPr>
        <a:xfrm>
          <a:off x="685800" y="43148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9" name="ID_FC372DD7EDBC4043AFAEB2EB1D928885" descr="红泪石戒指"/>
        <xdr:cNvPicPr>
          <a:picLocks noChangeAspect="1"/>
        </xdr:cNvPicPr>
      </xdr:nvPicPr>
      <xdr:blipFill>
        <a:blip r:embed="rId381" r:link="rId2"/>
        <a:stretch>
          <a:fillRect/>
        </a:stretch>
      </xdr:blipFill>
      <xdr:spPr>
        <a:xfrm>
          <a:off x="685800" y="4253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8" name="ID_4A7AD3B2012E4D5B8536FE1C8DF8960A" descr="暗怪手戒指"/>
        <xdr:cNvPicPr>
          <a:picLocks noChangeAspect="1"/>
        </xdr:cNvPicPr>
      </xdr:nvPicPr>
      <xdr:blipFill>
        <a:blip r:embed="rId382" r:link="rId2"/>
        <a:stretch>
          <a:fillRect/>
        </a:stretch>
      </xdr:blipFill>
      <xdr:spPr>
        <a:xfrm>
          <a:off x="685800" y="41929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7" name="ID_41698024CC1942FFAAF09D3629A8BBE4" descr="火焰怪手戒指"/>
        <xdr:cNvPicPr>
          <a:picLocks noChangeAspect="1"/>
        </xdr:cNvPicPr>
      </xdr:nvPicPr>
      <xdr:blipFill>
        <a:blip r:embed="rId383" r:link="rId2"/>
        <a:stretch>
          <a:fillRect/>
        </a:stretch>
      </xdr:blipFill>
      <xdr:spPr>
        <a:xfrm>
          <a:off x="685800" y="41319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6" name="ID_F0EE14E11CEA44A2B5410757BFA59C41" descr="雷电怪手戒指"/>
        <xdr:cNvPicPr>
          <a:picLocks noChangeAspect="1"/>
        </xdr:cNvPicPr>
      </xdr:nvPicPr>
      <xdr:blipFill>
        <a:blip r:embed="rId384" r:link="rId2"/>
        <a:stretch>
          <a:fillRect/>
        </a:stretch>
      </xdr:blipFill>
      <xdr:spPr>
        <a:xfrm>
          <a:off x="685800" y="40709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5" name="ID_E7B7999536F44107959BD11CD7483E70" descr="魔力怪手戒指"/>
        <xdr:cNvPicPr>
          <a:picLocks noChangeAspect="1"/>
        </xdr:cNvPicPr>
      </xdr:nvPicPr>
      <xdr:blipFill>
        <a:blip r:embed="rId385" r:link="rId2"/>
        <a:stretch>
          <a:fillRect/>
        </a:stretch>
      </xdr:blipFill>
      <xdr:spPr>
        <a:xfrm>
          <a:off x="685800" y="40100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4" name="ID_4DC5FD0045414A33949C1E48573F91AC" descr="弗林戒指"/>
        <xdr:cNvPicPr>
          <a:picLocks noChangeAspect="1"/>
        </xdr:cNvPicPr>
      </xdr:nvPicPr>
      <xdr:blipFill>
        <a:blip r:embed="rId386" r:link="rId2"/>
        <a:stretch>
          <a:fillRect/>
        </a:stretch>
      </xdr:blipFill>
      <xdr:spPr>
        <a:xfrm>
          <a:off x="685800" y="39185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3" name="ID_33444E80F8394BA286BBAE0E81A9C341" descr="木纹戒指+2"/>
        <xdr:cNvPicPr>
          <a:picLocks noChangeAspect="1"/>
        </xdr:cNvPicPr>
      </xdr:nvPicPr>
      <xdr:blipFill>
        <a:blip r:embed="rId387" r:link="rId2"/>
        <a:stretch>
          <a:fillRect/>
        </a:stretch>
      </xdr:blipFill>
      <xdr:spPr>
        <a:xfrm>
          <a:off x="685800" y="3872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" name="ID_BA18B5B849F44E3E9A19184AEC64C244" descr="木纹戒指+1"/>
        <xdr:cNvPicPr>
          <a:picLocks noChangeAspect="1"/>
        </xdr:cNvPicPr>
      </xdr:nvPicPr>
      <xdr:blipFill>
        <a:blip r:embed="rId387" r:link="rId2"/>
        <a:stretch>
          <a:fillRect/>
        </a:stretch>
      </xdr:blipFill>
      <xdr:spPr>
        <a:xfrm>
          <a:off x="685800" y="38271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" name="ID_EECBDF2153114A68B72A5A440FEAD101" descr="木纹戒指"/>
        <xdr:cNvPicPr>
          <a:picLocks noChangeAspect="1"/>
        </xdr:cNvPicPr>
      </xdr:nvPicPr>
      <xdr:blipFill>
        <a:blip r:embed="rId387" r:link="rId2"/>
        <a:stretch>
          <a:fillRect/>
        </a:stretch>
      </xdr:blipFill>
      <xdr:spPr>
        <a:xfrm>
          <a:off x="685800" y="37814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" name="ID_76C4B7C74F204A8B97B6D961A49B66E4" descr="马腿戒指"/>
        <xdr:cNvPicPr>
          <a:picLocks noChangeAspect="1"/>
        </xdr:cNvPicPr>
      </xdr:nvPicPr>
      <xdr:blipFill>
        <a:blip r:embed="rId388" r:link="rId2"/>
        <a:stretch>
          <a:fillRect/>
        </a:stretch>
      </xdr:blipFill>
      <xdr:spPr>
        <a:xfrm>
          <a:off x="685800" y="37357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" name="ID_CBEA15A16CC64E3EACA3A4F823E4498A" descr="龙鳞戒指"/>
        <xdr:cNvPicPr>
          <a:picLocks noChangeAspect="1"/>
        </xdr:cNvPicPr>
      </xdr:nvPicPr>
      <xdr:blipFill>
        <a:blip r:embed="rId389" r:link="rId2"/>
        <a:stretch>
          <a:fillRect/>
        </a:stretch>
      </xdr:blipFill>
      <xdr:spPr>
        <a:xfrm>
          <a:off x="685800" y="36899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" name="ID_90B397D2DAA34CA0A05C77195DD7AB08" descr="法兰戒指"/>
        <xdr:cNvPicPr>
          <a:picLocks noChangeAspect="1"/>
        </xdr:cNvPicPr>
      </xdr:nvPicPr>
      <xdr:blipFill>
        <a:blip r:embed="rId390" r:link="rId2"/>
        <a:stretch>
          <a:fillRect/>
        </a:stretch>
      </xdr:blipFill>
      <xdr:spPr>
        <a:xfrm>
          <a:off x="685800" y="36442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" name="ID_1EC797A6C34447788C4DDE86E078025C" descr="邪眼戒指+3"/>
        <xdr:cNvPicPr>
          <a:picLocks noChangeAspect="1"/>
        </xdr:cNvPicPr>
      </xdr:nvPicPr>
      <xdr:blipFill>
        <a:blip r:embed="rId391" r:link="rId2"/>
        <a:stretch>
          <a:fillRect/>
        </a:stretch>
      </xdr:blipFill>
      <xdr:spPr>
        <a:xfrm>
          <a:off x="685800" y="35985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" name="ID_8719A33CC1AB4564AA39914CCA3203A7" descr="邪眼戒指+2"/>
        <xdr:cNvPicPr>
          <a:picLocks noChangeAspect="1"/>
        </xdr:cNvPicPr>
      </xdr:nvPicPr>
      <xdr:blipFill>
        <a:blip r:embed="rId391" r:link="rId2"/>
        <a:stretch>
          <a:fillRect/>
        </a:stretch>
      </xdr:blipFill>
      <xdr:spPr>
        <a:xfrm>
          <a:off x="685800" y="35528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" name="ID_851DC1025BF24525B6FCA282B1B23992" descr="邪眼戒指+1"/>
        <xdr:cNvPicPr>
          <a:picLocks noChangeAspect="1"/>
        </xdr:cNvPicPr>
      </xdr:nvPicPr>
      <xdr:blipFill>
        <a:blip r:embed="rId391" r:link="rId2"/>
        <a:stretch>
          <a:fillRect/>
        </a:stretch>
      </xdr:blipFill>
      <xdr:spPr>
        <a:xfrm>
          <a:off x="685800" y="3507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" name="ID_C12254D954C34071A8A25B78BF19B0D9" descr="邪眼戒指"/>
        <xdr:cNvPicPr>
          <a:picLocks noChangeAspect="1"/>
        </xdr:cNvPicPr>
      </xdr:nvPicPr>
      <xdr:blipFill>
        <a:blip r:embed="rId391" r:link="rId2"/>
        <a:stretch>
          <a:fillRect/>
        </a:stretch>
      </xdr:blipFill>
      <xdr:spPr>
        <a:xfrm>
          <a:off x="685800" y="34613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" name="ID_629987CD5BC44FBDB615FA9570C67BBC" descr="猎杀骑士戒指"/>
        <xdr:cNvPicPr>
          <a:picLocks noChangeAspect="1"/>
        </xdr:cNvPicPr>
      </xdr:nvPicPr>
      <xdr:blipFill>
        <a:blip r:embed="rId392" r:link="rId2"/>
        <a:stretch>
          <a:fillRect/>
        </a:stretch>
      </xdr:blipFill>
      <xdr:spPr>
        <a:xfrm>
          <a:off x="685800" y="34156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2" name="ID_9B8BC37DB9FF4748961727310B2540A5" descr="黄蜂戒指"/>
        <xdr:cNvPicPr>
          <a:picLocks noChangeAspect="1"/>
        </xdr:cNvPicPr>
      </xdr:nvPicPr>
      <xdr:blipFill>
        <a:blip r:embed="rId393" r:link="rId2"/>
        <a:stretch>
          <a:fillRect/>
        </a:stretch>
      </xdr:blipFill>
      <xdr:spPr>
        <a:xfrm>
          <a:off x="685800" y="33851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1" name="ID_EE436049780348F1B08006847FE3772E" descr="老鹰戒指"/>
        <xdr:cNvPicPr>
          <a:picLocks noChangeAspect="1"/>
        </xdr:cNvPicPr>
      </xdr:nvPicPr>
      <xdr:blipFill>
        <a:blip r:embed="rId394" r:link="rId2"/>
        <a:stretch>
          <a:fillRect/>
        </a:stretch>
      </xdr:blipFill>
      <xdr:spPr>
        <a:xfrm>
          <a:off x="685800" y="33547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0" name="ID_4169D5050B604C5F964B7A8332BBA333" descr="狼戒指+3"/>
        <xdr:cNvPicPr>
          <a:picLocks noChangeAspect="1"/>
        </xdr:cNvPicPr>
      </xdr:nvPicPr>
      <xdr:blipFill>
        <a:blip r:embed="rId395" r:link="rId2"/>
        <a:stretch>
          <a:fillRect/>
        </a:stretch>
      </xdr:blipFill>
      <xdr:spPr>
        <a:xfrm>
          <a:off x="685800" y="33375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9" name="ID_31CBA184DEB4442C938D4384F4C75692" descr="狼戒指+2"/>
        <xdr:cNvPicPr>
          <a:picLocks noChangeAspect="1"/>
        </xdr:cNvPicPr>
      </xdr:nvPicPr>
      <xdr:blipFill>
        <a:blip r:embed="rId395" r:link="rId2"/>
        <a:stretch>
          <a:fillRect/>
        </a:stretch>
      </xdr:blipFill>
      <xdr:spPr>
        <a:xfrm>
          <a:off x="685800" y="33204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8" name="ID_93784DBE233D4576906E2ADD0C83FA3D" descr="狼戒指+1"/>
        <xdr:cNvPicPr>
          <a:picLocks noChangeAspect="1"/>
        </xdr:cNvPicPr>
      </xdr:nvPicPr>
      <xdr:blipFill>
        <a:blip r:embed="rId395" r:link="rId2"/>
        <a:stretch>
          <a:fillRect/>
        </a:stretch>
      </xdr:blipFill>
      <xdr:spPr>
        <a:xfrm>
          <a:off x="685800" y="33032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7" name="ID_D8ADD0C2F762467580731FF36EEB97E4" descr="狼戒指"/>
        <xdr:cNvPicPr>
          <a:picLocks noChangeAspect="1"/>
        </xdr:cNvPicPr>
      </xdr:nvPicPr>
      <xdr:blipFill>
        <a:blip r:embed="rId395" r:link="rId2"/>
        <a:stretch>
          <a:fillRect/>
        </a:stretch>
      </xdr:blipFill>
      <xdr:spPr>
        <a:xfrm>
          <a:off x="685800" y="32861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6" name="ID_1F8FBF762C9C4642ADABE3F8CDE7F02F" descr="狮子戒指"/>
        <xdr:cNvPicPr>
          <a:picLocks noChangeAspect="1"/>
        </xdr:cNvPicPr>
      </xdr:nvPicPr>
      <xdr:blipFill>
        <a:blip r:embed="rId396" r:link="rId2"/>
        <a:stretch>
          <a:fillRect/>
        </a:stretch>
      </xdr:blipFill>
      <xdr:spPr>
        <a:xfrm>
          <a:off x="685800" y="32099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5" name="ID_BC29A6617D8B4FED87A78311CED5A120" descr="幽暗宝冠戒指"/>
        <xdr:cNvPicPr>
          <a:picLocks noChangeAspect="1"/>
        </xdr:cNvPicPr>
      </xdr:nvPicPr>
      <xdr:blipFill>
        <a:blip r:embed="rId397" r:link="rId2"/>
        <a:stretch>
          <a:fillRect/>
        </a:stretch>
      </xdr:blipFill>
      <xdr:spPr>
        <a:xfrm>
          <a:off x="685800" y="31337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" name="ID_3D6493BC3C5546FAB6DEB7E2B2BBDFC8" descr="老者戒指+2"/>
        <xdr:cNvPicPr>
          <a:picLocks noChangeAspect="1"/>
        </xdr:cNvPicPr>
      </xdr:nvPicPr>
      <xdr:blipFill>
        <a:blip r:embed="rId398" r:link="rId2"/>
        <a:stretch>
          <a:fillRect/>
        </a:stretch>
      </xdr:blipFill>
      <xdr:spPr>
        <a:xfrm>
          <a:off x="685800" y="30880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" name="ID_88851E32501F454A927312CBF07028C4" descr="老者戒指+1"/>
        <xdr:cNvPicPr>
          <a:picLocks noChangeAspect="1"/>
        </xdr:cNvPicPr>
      </xdr:nvPicPr>
      <xdr:blipFill>
        <a:blip r:embed="rId398" r:link="rId2"/>
        <a:stretch>
          <a:fillRect/>
        </a:stretch>
      </xdr:blipFill>
      <xdr:spPr>
        <a:xfrm>
          <a:off x="685800" y="30422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" name="ID_7D2F903A252D47369338FFBA045D8F23" descr="老者戒指"/>
        <xdr:cNvPicPr>
          <a:picLocks noChangeAspect="1"/>
        </xdr:cNvPicPr>
      </xdr:nvPicPr>
      <xdr:blipFill>
        <a:blip r:embed="rId398" r:link="rId2"/>
        <a:stretch>
          <a:fillRect/>
        </a:stretch>
      </xdr:blipFill>
      <xdr:spPr>
        <a:xfrm>
          <a:off x="685800" y="29965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" name="ID_803DD1DB13B4424E882F54DFA39BCC66" descr="伫立龙徽戒指+2"/>
        <xdr:cNvPicPr>
          <a:picLocks noChangeAspect="1"/>
        </xdr:cNvPicPr>
      </xdr:nvPicPr>
      <xdr:blipFill>
        <a:blip r:embed="rId399" r:link="rId2"/>
        <a:stretch>
          <a:fillRect/>
        </a:stretch>
      </xdr:blipFill>
      <xdr:spPr>
        <a:xfrm>
          <a:off x="685800" y="29660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" name="ID_732C2FBC0C494EAC83E2EDD1D7FAC86B" descr="伫立龙徽戒指+1"/>
        <xdr:cNvPicPr>
          <a:picLocks noChangeAspect="1"/>
        </xdr:cNvPicPr>
      </xdr:nvPicPr>
      <xdr:blipFill>
        <a:blip r:embed="rId399" r:link="rId2"/>
        <a:stretch>
          <a:fillRect/>
        </a:stretch>
      </xdr:blipFill>
      <xdr:spPr>
        <a:xfrm>
          <a:off x="685800" y="29356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" name="ID_6557E7B314F44A87A226F22E40CCB258" descr="伫立龙徽戒指"/>
        <xdr:cNvPicPr>
          <a:picLocks noChangeAspect="1"/>
        </xdr:cNvPicPr>
      </xdr:nvPicPr>
      <xdr:blipFill>
        <a:blip r:embed="rId399" r:link="rId2"/>
        <a:stretch>
          <a:fillRect/>
        </a:stretch>
      </xdr:blipFill>
      <xdr:spPr>
        <a:xfrm>
          <a:off x="685800" y="29051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" name="ID_DD602E7790DC4B0C97368B29C7522F25" descr="太阳长男戒指"/>
        <xdr:cNvPicPr>
          <a:picLocks noChangeAspect="1"/>
        </xdr:cNvPicPr>
      </xdr:nvPicPr>
      <xdr:blipFill>
        <a:blip r:embed="rId400" r:link="rId2"/>
        <a:stretch>
          <a:fillRect/>
        </a:stretch>
      </xdr:blipFill>
      <xdr:spPr>
        <a:xfrm>
          <a:off x="685800" y="28746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" name="ID_B8A79FF64A4E4D259C8498BB0141C538" descr="摩恩戒指"/>
        <xdr:cNvPicPr>
          <a:picLocks noChangeAspect="1"/>
        </xdr:cNvPicPr>
      </xdr:nvPicPr>
      <xdr:blipFill>
        <a:blip r:embed="rId401" r:link="rId2"/>
        <a:stretch>
          <a:fillRect/>
        </a:stretch>
      </xdr:blipFill>
      <xdr:spPr>
        <a:xfrm>
          <a:off x="685800" y="28441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" name="ID_6886F74F356C49A2B7A8C6F312BC2644" descr="魔女们的戒指"/>
        <xdr:cNvPicPr>
          <a:picLocks noChangeAspect="1"/>
        </xdr:cNvPicPr>
      </xdr:nvPicPr>
      <xdr:blipFill>
        <a:blip r:embed="rId402" r:link="rId2"/>
        <a:stretch>
          <a:fillRect/>
        </a:stretch>
      </xdr:blipFill>
      <xdr:spPr>
        <a:xfrm>
          <a:off x="685800" y="2813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" name="ID_5625CAC5C133473299DDEF143D102DC8" descr="绿花戒指"/>
        <xdr:cNvPicPr>
          <a:picLocks noChangeAspect="1"/>
        </xdr:cNvPicPr>
      </xdr:nvPicPr>
      <xdr:blipFill>
        <a:blip r:embed="rId403" r:link="rId2"/>
        <a:stretch>
          <a:fillRect/>
        </a:stretch>
      </xdr:blipFill>
      <xdr:spPr>
        <a:xfrm>
          <a:off x="685800" y="245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" name="ID_730C520E40EC45AD8F1FC50E5BB34C84" descr="原素灰戒指"/>
        <xdr:cNvPicPr>
          <a:picLocks noChangeAspect="1"/>
        </xdr:cNvPicPr>
      </xdr:nvPicPr>
      <xdr:blipFill>
        <a:blip r:embed="rId404" r:link="rId2"/>
        <a:stretch>
          <a:fillRect/>
        </a:stretch>
      </xdr:blipFill>
      <xdr:spPr>
        <a:xfrm>
          <a:off x="685800" y="2000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" name="ID_357173028E0E4373AD1E8DA540FA0FDE" descr="原素戒指"/>
        <xdr:cNvPicPr>
          <a:picLocks noChangeAspect="1"/>
        </xdr:cNvPicPr>
      </xdr:nvPicPr>
      <xdr:blipFill>
        <a:blip r:embed="rId405" r:link="rId2"/>
        <a:stretch>
          <a:fillRect/>
        </a:stretch>
      </xdr:blipFill>
      <xdr:spPr>
        <a:xfrm>
          <a:off x="685800" y="1695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" name="ID_F8A0E50ED06B4FFBBB98105207F0DDBA" descr="太阳公主戒指"/>
        <xdr:cNvPicPr>
          <a:picLocks noChangeAspect="1"/>
        </xdr:cNvPicPr>
      </xdr:nvPicPr>
      <xdr:blipFill>
        <a:blip r:embed="rId406" r:link="rId2"/>
        <a:stretch>
          <a:fillRect/>
        </a:stretch>
      </xdr:blipFill>
      <xdr:spPr>
        <a:xfrm>
          <a:off x="685800" y="1390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" name="ID_8C46BFE6D9484C85B9C9457B85232CF4" descr="生命戒指+3"/>
        <xdr:cNvPicPr>
          <a:picLocks noChangeAspect="1"/>
        </xdr:cNvPicPr>
      </xdr:nvPicPr>
      <xdr:blipFill>
        <a:blip r:embed="rId407" r:link="rId2"/>
        <a:stretch>
          <a:fillRect/>
        </a:stretch>
      </xdr:blipFill>
      <xdr:spPr>
        <a:xfrm>
          <a:off x="685800" y="1085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" name="ID_745D1FAB2A8F492E92614ACCCA075FDF" descr="生命戒指+1"/>
        <xdr:cNvPicPr>
          <a:picLocks noChangeAspect="1"/>
        </xdr:cNvPicPr>
      </xdr:nvPicPr>
      <xdr:blipFill>
        <a:blip r:embed="rId407" r:link="rId2"/>
        <a:stretch>
          <a:fillRect/>
        </a:stretch>
      </xdr:blipFill>
      <xdr:spPr>
        <a:xfrm>
          <a:off x="685800" y="476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" name="ID_77626688051947B598E15359CDBD9A11" descr="生命戒指"/>
        <xdr:cNvPicPr>
          <a:picLocks noChangeAspect="1"/>
        </xdr:cNvPicPr>
      </xdr:nvPicPr>
      <xdr:blipFill>
        <a:blip r:embed="rId407" r:link="rId2"/>
        <a:stretch>
          <a:fillRect/>
        </a:stretch>
      </xdr:blipFill>
      <xdr:spPr>
        <a:xfrm>
          <a:off x="685800" y="171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" name="ID_61CE6D5D161A4BEB8F3CC48C01362842" descr="生命戒指+2"/>
        <xdr:cNvPicPr>
          <a:picLocks noChangeAspect="1"/>
        </xdr:cNvPicPr>
      </xdr:nvPicPr>
      <xdr:blipFill>
        <a:blip r:embed="rId407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" name="ID_AA42F9E0460844C68D1DD98D5F8FB144" descr="绿花戒指+1"/>
        <xdr:cNvPicPr>
          <a:picLocks noChangeAspect="1"/>
        </xdr:cNvPicPr>
      </xdr:nvPicPr>
      <xdr:blipFill>
        <a:blip r:embed="rId403" r:link="rId2"/>
        <a:stretch>
          <a:fillRect/>
        </a:stretch>
      </xdr:blipFill>
      <xdr:spPr>
        <a:xfrm>
          <a:off x="685800" y="2762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" name="ID_CA73F6F827A9419EB49D2CCDE9FB55D8" descr="绿花戒指+2"/>
        <xdr:cNvPicPr>
          <a:picLocks noChangeAspect="1"/>
        </xdr:cNvPicPr>
      </xdr:nvPicPr>
      <xdr:blipFill>
        <a:blip r:embed="rId403" r:link="rId2"/>
        <a:stretch>
          <a:fillRect/>
        </a:stretch>
      </xdr:blipFill>
      <xdr:spPr>
        <a:xfrm>
          <a:off x="685800" y="3067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" name="ID_57CC75329B04474E9ACEBA7E8A320BFB" descr="绿花戒指+3"/>
        <xdr:cNvPicPr>
          <a:picLocks noChangeAspect="1"/>
        </xdr:cNvPicPr>
      </xdr:nvPicPr>
      <xdr:blipFill>
        <a:blip r:embed="rId403" r:link="rId2"/>
        <a:stretch>
          <a:fillRect/>
        </a:stretch>
      </xdr:blipFill>
      <xdr:spPr>
        <a:xfrm>
          <a:off x="685800" y="3371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" name="ID_D4BFA581CB90442D87C356E1ED279744" descr="哈维尔戒指"/>
        <xdr:cNvPicPr>
          <a:picLocks noChangeAspect="1"/>
        </xdr:cNvPicPr>
      </xdr:nvPicPr>
      <xdr:blipFill>
        <a:blip r:embed="rId408" r:link="rId2"/>
        <a:stretch>
          <a:fillRect/>
        </a:stretch>
      </xdr:blipFill>
      <xdr:spPr>
        <a:xfrm>
          <a:off x="685800" y="3676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" name="ID_4C90BC6B4B204D849312026B17D5DD33" descr="哈维尔戒指+1"/>
        <xdr:cNvPicPr>
          <a:picLocks noChangeAspect="1"/>
        </xdr:cNvPicPr>
      </xdr:nvPicPr>
      <xdr:blipFill>
        <a:blip r:embed="rId408" r:link="rId2"/>
        <a:stretch>
          <a:fillRect/>
        </a:stretch>
      </xdr:blipFill>
      <xdr:spPr>
        <a:xfrm>
          <a:off x="685800" y="3981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" name="ID_C53C63A5CBCB47F38C832138996609A1" descr="哈维尔戒指+2"/>
        <xdr:cNvPicPr>
          <a:picLocks noChangeAspect="1"/>
        </xdr:cNvPicPr>
      </xdr:nvPicPr>
      <xdr:blipFill>
        <a:blip r:embed="rId408" r:link="rId2"/>
        <a:stretch>
          <a:fillRect/>
        </a:stretch>
      </xdr:blipFill>
      <xdr:spPr>
        <a:xfrm>
          <a:off x="685800" y="4286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" name="ID_8261824611EB44639C2008E937982B75" descr="哈维尔戒指+3"/>
        <xdr:cNvPicPr>
          <a:picLocks noChangeAspect="1"/>
        </xdr:cNvPicPr>
      </xdr:nvPicPr>
      <xdr:blipFill>
        <a:blip r:embed="rId408" r:link="rId2"/>
        <a:stretch>
          <a:fillRect/>
        </a:stretch>
      </xdr:blipFill>
      <xdr:spPr>
        <a:xfrm>
          <a:off x="685800" y="459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" name="ID_DC99966299DF429FBD8125D84E50C3B2" descr="宠爱戒指"/>
        <xdr:cNvPicPr>
          <a:picLocks noChangeAspect="1"/>
        </xdr:cNvPicPr>
      </xdr:nvPicPr>
      <xdr:blipFill>
        <a:blip r:embed="rId409" r:link="rId2"/>
        <a:stretch>
          <a:fillRect/>
        </a:stretch>
      </xdr:blipFill>
      <xdr:spPr>
        <a:xfrm>
          <a:off x="685800" y="4895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" name="ID_75F84B45A8294ED3A6C59A242E7E9DCA" descr="宠爱戒指+1"/>
        <xdr:cNvPicPr>
          <a:picLocks noChangeAspect="1"/>
        </xdr:cNvPicPr>
      </xdr:nvPicPr>
      <xdr:blipFill>
        <a:blip r:embed="rId409" r:link="rId2"/>
        <a:stretch>
          <a:fillRect/>
        </a:stretch>
      </xdr:blipFill>
      <xdr:spPr>
        <a:xfrm>
          <a:off x="685800" y="5505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" name="ID_7656AEC3969A48D8B395992EC8DEFC1B" descr="宠爱戒指+2"/>
        <xdr:cNvPicPr>
          <a:picLocks noChangeAspect="1"/>
        </xdr:cNvPicPr>
      </xdr:nvPicPr>
      <xdr:blipFill>
        <a:blip r:embed="rId409" r:link="rId2"/>
        <a:stretch>
          <a:fillRect/>
        </a:stretch>
      </xdr:blipFill>
      <xdr:spPr>
        <a:xfrm>
          <a:off x="685800" y="626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0" name="ID_ED6F01064824400886F26D3161B280C1" descr="宠爱戒指+3"/>
        <xdr:cNvPicPr>
          <a:picLocks noChangeAspect="1"/>
        </xdr:cNvPicPr>
      </xdr:nvPicPr>
      <xdr:blipFill>
        <a:blip r:embed="rId409" r:link="rId2"/>
        <a:stretch>
          <a:fillRect/>
        </a:stretch>
      </xdr:blipFill>
      <xdr:spPr>
        <a:xfrm>
          <a:off x="685800" y="7029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1" name="ID_BA9A0FEF0DAB4FD0894605F7E2817E8A" descr="俘虏锁链"/>
        <xdr:cNvPicPr>
          <a:picLocks noChangeAspect="1"/>
        </xdr:cNvPicPr>
      </xdr:nvPicPr>
      <xdr:blipFill>
        <a:blip r:embed="rId410" r:link="rId2"/>
        <a:stretch>
          <a:fillRect/>
        </a:stretch>
      </xdr:blipFill>
      <xdr:spPr>
        <a:xfrm>
          <a:off x="685800" y="7791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2" name="ID_CC7A2BA2E723474DB4438A97E034ADBF" descr="钢铁庇佑戒指"/>
        <xdr:cNvPicPr>
          <a:picLocks noChangeAspect="1"/>
        </xdr:cNvPicPr>
      </xdr:nvPicPr>
      <xdr:blipFill>
        <a:blip r:embed="rId411" r:link="rId2"/>
        <a:stretch>
          <a:fillRect/>
        </a:stretch>
      </xdr:blipFill>
      <xdr:spPr>
        <a:xfrm>
          <a:off x="685800" y="8553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3" name="ID_DE997CB4645A45B9A38AC24ED1610F2B" descr="钢铁庇佑戒指+1"/>
        <xdr:cNvPicPr>
          <a:picLocks noChangeAspect="1"/>
        </xdr:cNvPicPr>
      </xdr:nvPicPr>
      <xdr:blipFill>
        <a:blip r:embed="rId411" r:link="rId2"/>
        <a:stretch>
          <a:fillRect/>
        </a:stretch>
      </xdr:blipFill>
      <xdr:spPr>
        <a:xfrm>
          <a:off x="685800" y="9163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4" name="ID_A7CA86F35E464C6A91637A568837A6CB" descr="钢铁庇佑戒指+2"/>
        <xdr:cNvPicPr>
          <a:picLocks noChangeAspect="1"/>
        </xdr:cNvPicPr>
      </xdr:nvPicPr>
      <xdr:blipFill>
        <a:blip r:embed="rId411" r:link="rId2"/>
        <a:stretch>
          <a:fillRect/>
        </a:stretch>
      </xdr:blipFill>
      <xdr:spPr>
        <a:xfrm>
          <a:off x="685800" y="9772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5" name="ID_7EDCFC4FA98546DDA165D501E8BB4896" descr="钢铁庇佑戒指+3"/>
        <xdr:cNvPicPr>
          <a:picLocks noChangeAspect="1"/>
        </xdr:cNvPicPr>
      </xdr:nvPicPr>
      <xdr:blipFill>
        <a:blip r:embed="rId411" r:link="rId2"/>
        <a:stretch>
          <a:fillRect/>
        </a:stretch>
      </xdr:blipFill>
      <xdr:spPr>
        <a:xfrm>
          <a:off x="685800" y="10382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" name="ID_3678FB225BE44D4E9FB5191DD8C8E86D" descr="魔力方石戒指"/>
        <xdr:cNvPicPr>
          <a:picLocks noChangeAspect="1"/>
        </xdr:cNvPicPr>
      </xdr:nvPicPr>
      <xdr:blipFill>
        <a:blip r:embed="rId412" r:link="rId2"/>
        <a:stretch>
          <a:fillRect/>
        </a:stretch>
      </xdr:blipFill>
      <xdr:spPr>
        <a:xfrm>
          <a:off x="685800" y="10991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" name="ID_A2B02A8E155440118F282E4867920069" descr="魔力方石戒指+1"/>
        <xdr:cNvPicPr>
          <a:picLocks noChangeAspect="1"/>
        </xdr:cNvPicPr>
      </xdr:nvPicPr>
      <xdr:blipFill>
        <a:blip r:embed="rId412" r:link="rId2"/>
        <a:stretch>
          <a:fillRect/>
        </a:stretch>
      </xdr:blipFill>
      <xdr:spPr>
        <a:xfrm>
          <a:off x="685800" y="11601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" name="ID_1B91D319B2AC4F5B8FB2F87CBC2FE4A0" descr="魔力方石戒指+2"/>
        <xdr:cNvPicPr>
          <a:picLocks noChangeAspect="1"/>
        </xdr:cNvPicPr>
      </xdr:nvPicPr>
      <xdr:blipFill>
        <a:blip r:embed="rId412" r:link="rId2"/>
        <a:stretch>
          <a:fillRect/>
        </a:stretch>
      </xdr:blipFill>
      <xdr:spPr>
        <a:xfrm>
          <a:off x="685800" y="1221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9" name="ID_8D01DB2D1110425A9D21B42105B0BCCD" descr="火方石戒指"/>
        <xdr:cNvPicPr>
          <a:picLocks noChangeAspect="1"/>
        </xdr:cNvPicPr>
      </xdr:nvPicPr>
      <xdr:blipFill>
        <a:blip r:embed="rId413" r:link="rId2"/>
        <a:stretch>
          <a:fillRect/>
        </a:stretch>
      </xdr:blipFill>
      <xdr:spPr>
        <a:xfrm>
          <a:off x="685800" y="12820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0" name="ID_36D29A0043CD4B5087179F7010040A61" descr="火方石戒指+1"/>
        <xdr:cNvPicPr>
          <a:picLocks noChangeAspect="1"/>
        </xdr:cNvPicPr>
      </xdr:nvPicPr>
      <xdr:blipFill>
        <a:blip r:embed="rId413" r:link="rId2"/>
        <a:stretch>
          <a:fillRect/>
        </a:stretch>
      </xdr:blipFill>
      <xdr:spPr>
        <a:xfrm>
          <a:off x="685800" y="13430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1" name="ID_725B1A94FBBC43D99B627B6857C2F93C" descr="火方石戒指+2"/>
        <xdr:cNvPicPr>
          <a:picLocks noChangeAspect="1"/>
        </xdr:cNvPicPr>
      </xdr:nvPicPr>
      <xdr:blipFill>
        <a:blip r:embed="rId413" r:link="rId2"/>
        <a:stretch>
          <a:fillRect/>
        </a:stretch>
      </xdr:blipFill>
      <xdr:spPr>
        <a:xfrm>
          <a:off x="685800" y="14039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2" name="ID_C091F98F752E4580886A9679A1A9069B" descr="雷方石戒指"/>
        <xdr:cNvPicPr>
          <a:picLocks noChangeAspect="1"/>
        </xdr:cNvPicPr>
      </xdr:nvPicPr>
      <xdr:blipFill>
        <a:blip r:embed="rId414" r:link="rId2"/>
        <a:stretch>
          <a:fillRect/>
        </a:stretch>
      </xdr:blipFill>
      <xdr:spPr>
        <a:xfrm>
          <a:off x="685800" y="14649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3" name="ID_0EC3A663C34D438E8257C399F955FD1B" descr="雷方石戒指+1"/>
        <xdr:cNvPicPr>
          <a:picLocks noChangeAspect="1"/>
        </xdr:cNvPicPr>
      </xdr:nvPicPr>
      <xdr:blipFill>
        <a:blip r:embed="rId414" r:link="rId2"/>
        <a:stretch>
          <a:fillRect/>
        </a:stretch>
      </xdr:blipFill>
      <xdr:spPr>
        <a:xfrm>
          <a:off x="685800" y="15259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4" name="ID_D2920E3BF9B4445CB8122C7BCC86E3E6" descr="雷方石戒指+2"/>
        <xdr:cNvPicPr>
          <a:picLocks noChangeAspect="1"/>
        </xdr:cNvPicPr>
      </xdr:nvPicPr>
      <xdr:blipFill>
        <a:blip r:embed="rId414" r:link="rId2"/>
        <a:stretch>
          <a:fillRect/>
        </a:stretch>
      </xdr:blipFill>
      <xdr:spPr>
        <a:xfrm>
          <a:off x="685800" y="1586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" name="ID_4500EA755F2941A2BDF3B44D320F385B" descr="暗方石戒指"/>
        <xdr:cNvPicPr>
          <a:picLocks noChangeAspect="1"/>
        </xdr:cNvPicPr>
      </xdr:nvPicPr>
      <xdr:blipFill>
        <a:blip r:embed="rId415" r:link="rId2"/>
        <a:stretch>
          <a:fillRect/>
        </a:stretch>
      </xdr:blipFill>
      <xdr:spPr>
        <a:xfrm>
          <a:off x="685800" y="16478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6" name="ID_95BA699F7C5142F5A1D7953FEE88B10D" descr="暗方石戒指+1"/>
        <xdr:cNvPicPr>
          <a:picLocks noChangeAspect="1"/>
        </xdr:cNvPicPr>
      </xdr:nvPicPr>
      <xdr:blipFill>
        <a:blip r:embed="rId415" r:link="rId2"/>
        <a:stretch>
          <a:fillRect/>
        </a:stretch>
      </xdr:blipFill>
      <xdr:spPr>
        <a:xfrm>
          <a:off x="685800" y="17087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7" name="ID_FFD3346F8C304776A16168A1072F9C2A" descr="暗方石戒指+2"/>
        <xdr:cNvPicPr>
          <a:picLocks noChangeAspect="1"/>
        </xdr:cNvPicPr>
      </xdr:nvPicPr>
      <xdr:blipFill>
        <a:blip r:embed="rId415" r:link="rId2"/>
        <a:stretch>
          <a:fillRect/>
        </a:stretch>
      </xdr:blipFill>
      <xdr:spPr>
        <a:xfrm>
          <a:off x="685800" y="1769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8" name="ID_3902D613903643EEA092F22FC0B33BA9" descr="斑方石戒指"/>
        <xdr:cNvPicPr>
          <a:picLocks noChangeAspect="1"/>
        </xdr:cNvPicPr>
      </xdr:nvPicPr>
      <xdr:blipFill>
        <a:blip r:embed="rId416" r:link="rId2"/>
        <a:stretch>
          <a:fillRect/>
        </a:stretch>
      </xdr:blipFill>
      <xdr:spPr>
        <a:xfrm>
          <a:off x="685800" y="18307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9" name="ID_10A0226A1C4245CAACD35BC70C943FAD" descr="斑方石戒指+1"/>
        <xdr:cNvPicPr>
          <a:picLocks noChangeAspect="1"/>
        </xdr:cNvPicPr>
      </xdr:nvPicPr>
      <xdr:blipFill>
        <a:blip r:embed="rId416" r:link="rId2"/>
        <a:stretch>
          <a:fillRect/>
        </a:stretch>
      </xdr:blipFill>
      <xdr:spPr>
        <a:xfrm>
          <a:off x="685800" y="18916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0" name="ID_3337EFB4EB014699A2938BDA7D3D4F2F" descr="咬血戒指"/>
        <xdr:cNvPicPr>
          <a:picLocks noChangeAspect="1"/>
        </xdr:cNvPicPr>
      </xdr:nvPicPr>
      <xdr:blipFill>
        <a:blip r:embed="rId417" r:link="rId2"/>
        <a:stretch>
          <a:fillRect/>
        </a:stretch>
      </xdr:blipFill>
      <xdr:spPr>
        <a:xfrm>
          <a:off x="685800" y="19526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" name="ID_81CA9F46D69849898B73895906568DCA" descr="咬血戒指+1"/>
        <xdr:cNvPicPr>
          <a:picLocks noChangeAspect="1"/>
        </xdr:cNvPicPr>
      </xdr:nvPicPr>
      <xdr:blipFill>
        <a:blip r:embed="rId417" r:link="rId2"/>
        <a:stretch>
          <a:fillRect/>
        </a:stretch>
      </xdr:blipFill>
      <xdr:spPr>
        <a:xfrm>
          <a:off x="685800" y="1983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2" name="ID_DD182FC57A754CE9B5ED3D951CDAAA11" descr="咬毒戒指"/>
        <xdr:cNvPicPr>
          <a:picLocks noChangeAspect="1"/>
        </xdr:cNvPicPr>
      </xdr:nvPicPr>
      <xdr:blipFill>
        <a:blip r:embed="rId418" r:link="rId2"/>
        <a:stretch>
          <a:fillRect/>
        </a:stretch>
      </xdr:blipFill>
      <xdr:spPr>
        <a:xfrm>
          <a:off x="685800" y="20135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" name="ID_B3A467E2D4394182911DECA7662A4DCE" descr="咬毒戒指+1"/>
        <xdr:cNvPicPr>
          <a:picLocks noChangeAspect="1"/>
        </xdr:cNvPicPr>
      </xdr:nvPicPr>
      <xdr:blipFill>
        <a:blip r:embed="rId418" r:link="rId2"/>
        <a:stretch>
          <a:fillRect/>
        </a:stretch>
      </xdr:blipFill>
      <xdr:spPr>
        <a:xfrm>
          <a:off x="685800" y="20440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4" name="ID_4F4395B3C8FD448F9F8113051735D3C0" descr="咬霜戒指"/>
        <xdr:cNvPicPr>
          <a:picLocks noChangeAspect="1"/>
        </xdr:cNvPicPr>
      </xdr:nvPicPr>
      <xdr:blipFill>
        <a:blip r:embed="rId419" r:link="rId2"/>
        <a:stretch>
          <a:fillRect/>
        </a:stretch>
      </xdr:blipFill>
      <xdr:spPr>
        <a:xfrm>
          <a:off x="685800" y="20745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5" name="ID_DEFF90440E4642019397A6C4C112F397" descr="咬咒戒指"/>
        <xdr:cNvPicPr>
          <a:picLocks noChangeAspect="1"/>
        </xdr:cNvPicPr>
      </xdr:nvPicPr>
      <xdr:blipFill>
        <a:blip r:embed="rId420" r:link="rId2"/>
        <a:stretch>
          <a:fillRect/>
        </a:stretch>
      </xdr:blipFill>
      <xdr:spPr>
        <a:xfrm>
          <a:off x="685800" y="21050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6" name="ID_6AC803BC05F04F8FAC8976EC86A8780B" descr="咬人戒指"/>
        <xdr:cNvPicPr>
          <a:picLocks noChangeAspect="1"/>
        </xdr:cNvPicPr>
      </xdr:nvPicPr>
      <xdr:blipFill>
        <a:blip r:embed="rId421" r:link="rId2"/>
        <a:stretch>
          <a:fillRect/>
        </a:stretch>
      </xdr:blipFill>
      <xdr:spPr>
        <a:xfrm>
          <a:off x="685800" y="21355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7" name="ID_536B1E796CA54C639822C2CF1890D587" descr="咬人戒指+1"/>
        <xdr:cNvPicPr>
          <a:picLocks noChangeAspect="1"/>
        </xdr:cNvPicPr>
      </xdr:nvPicPr>
      <xdr:blipFill>
        <a:blip r:embed="rId421" r:link="rId2"/>
        <a:stretch>
          <a:fillRect/>
        </a:stretch>
      </xdr:blipFill>
      <xdr:spPr>
        <a:xfrm>
          <a:off x="685800" y="21964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" name="ID_CE99583CF27D43AF8FFCB001897F1CAE" descr="骑士戒指"/>
        <xdr:cNvPicPr>
          <a:picLocks noChangeAspect="1"/>
        </xdr:cNvPicPr>
      </xdr:nvPicPr>
      <xdr:blipFill>
        <a:blip r:embed="rId422" r:link="rId2"/>
        <a:stretch>
          <a:fillRect/>
        </a:stretch>
      </xdr:blipFill>
      <xdr:spPr>
        <a:xfrm>
          <a:off x="685800" y="22574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9" name="ID_71BAD56A82DD4BB78E77AC20CE03740B" descr="猎人戒指"/>
        <xdr:cNvPicPr>
          <a:picLocks noChangeAspect="1"/>
        </xdr:cNvPicPr>
      </xdr:nvPicPr>
      <xdr:blipFill>
        <a:blip r:embed="rId423" r:link="rId2"/>
        <a:stretch>
          <a:fillRect/>
        </a:stretch>
      </xdr:blipFill>
      <xdr:spPr>
        <a:xfrm>
          <a:off x="685800" y="22745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0" name="ID_88A5B791524F401DADFE3BDB0469305F" descr="贤者戒指"/>
        <xdr:cNvPicPr>
          <a:picLocks noChangeAspect="1"/>
        </xdr:cNvPicPr>
      </xdr:nvPicPr>
      <xdr:blipFill>
        <a:blip r:embed="rId424" r:link="rId2"/>
        <a:stretch>
          <a:fillRect/>
        </a:stretch>
      </xdr:blipFill>
      <xdr:spPr>
        <a:xfrm>
          <a:off x="685800" y="22917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1" name="ID_7CF6EDBFD0DF495893E700AD9BB0E0FA" descr="主祭戒指"/>
        <xdr:cNvPicPr>
          <a:picLocks noChangeAspect="1"/>
        </xdr:cNvPicPr>
      </xdr:nvPicPr>
      <xdr:blipFill>
        <a:blip r:embed="rId425" r:link="rId2"/>
        <a:stretch>
          <a:fillRect/>
        </a:stretch>
      </xdr:blipFill>
      <xdr:spPr>
        <a:xfrm>
          <a:off x="685800" y="23088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2" name="ID_302D9A0FE4C344339CF57D778718EF72" descr="贪婪金蛇戒指"/>
        <xdr:cNvPicPr>
          <a:picLocks noChangeAspect="1"/>
        </xdr:cNvPicPr>
      </xdr:nvPicPr>
      <xdr:blipFill>
        <a:blip r:embed="rId426" r:link="rId2"/>
        <a:stretch>
          <a:fillRect/>
        </a:stretch>
      </xdr:blipFill>
      <xdr:spPr>
        <a:xfrm>
          <a:off x="685800" y="23260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" name="ID_12EDEA93AC51483794FF9A059B176D59" descr="贪婪金蛇戒指+1"/>
        <xdr:cNvPicPr>
          <a:picLocks noChangeAspect="1"/>
        </xdr:cNvPicPr>
      </xdr:nvPicPr>
      <xdr:blipFill>
        <a:blip r:embed="rId426" r:link="rId2"/>
        <a:stretch>
          <a:fillRect/>
        </a:stretch>
      </xdr:blipFill>
      <xdr:spPr>
        <a:xfrm>
          <a:off x="685800" y="23564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" name="ID_8F4D19FDF3B24210BD6406610EB1ADDC" descr="贪婪金蛇戒指+2"/>
        <xdr:cNvPicPr>
          <a:picLocks noChangeAspect="1"/>
        </xdr:cNvPicPr>
      </xdr:nvPicPr>
      <xdr:blipFill>
        <a:blip r:embed="rId426" r:link="rId2"/>
        <a:stretch>
          <a:fillRect/>
        </a:stretch>
      </xdr:blipFill>
      <xdr:spPr>
        <a:xfrm>
          <a:off x="685800" y="23869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" name="ID_97EA086164B04AFE95303D9818707696" descr="贪婪金蛇戒指+3"/>
        <xdr:cNvPicPr>
          <a:picLocks noChangeAspect="1"/>
        </xdr:cNvPicPr>
      </xdr:nvPicPr>
      <xdr:blipFill>
        <a:blip r:embed="rId426" r:link="rId2"/>
        <a:stretch>
          <a:fillRect/>
        </a:stretch>
      </xdr:blipFill>
      <xdr:spPr>
        <a:xfrm>
          <a:off x="685800" y="24174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" name="ID_4E96C1B48A7D44DC9025EF4AFBA9AB97" descr="贪婪银蛇戒指"/>
        <xdr:cNvPicPr>
          <a:picLocks noChangeAspect="1"/>
        </xdr:cNvPicPr>
      </xdr:nvPicPr>
      <xdr:blipFill>
        <a:blip r:embed="rId427" r:link="rId2"/>
        <a:stretch>
          <a:fillRect/>
        </a:stretch>
      </xdr:blipFill>
      <xdr:spPr>
        <a:xfrm>
          <a:off x="685800" y="24479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" name="ID_22811A66A11441369B2EF51FB7A93A25" descr="贪婪银蛇戒指+1"/>
        <xdr:cNvPicPr>
          <a:picLocks noChangeAspect="1"/>
        </xdr:cNvPicPr>
      </xdr:nvPicPr>
      <xdr:blipFill>
        <a:blip r:embed="rId427" r:link="rId2"/>
        <a:stretch>
          <a:fillRect/>
        </a:stretch>
      </xdr:blipFill>
      <xdr:spPr>
        <a:xfrm>
          <a:off x="685800" y="24936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" name="ID_D3C7A625EA304D848471D15EDD893FCA" descr="贪婪银蛇戒指+2"/>
        <xdr:cNvPicPr>
          <a:picLocks noChangeAspect="1"/>
        </xdr:cNvPicPr>
      </xdr:nvPicPr>
      <xdr:blipFill>
        <a:blip r:embed="rId427" r:link="rId2"/>
        <a:stretch>
          <a:fillRect/>
        </a:stretch>
      </xdr:blipFill>
      <xdr:spPr>
        <a:xfrm>
          <a:off x="685800" y="25393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" name="ID_3CFFA37D375F4CE68DDD20013F93FB1F" descr="贪婪银蛇戒指+3"/>
        <xdr:cNvPicPr>
          <a:picLocks noChangeAspect="1"/>
        </xdr:cNvPicPr>
      </xdr:nvPicPr>
      <xdr:blipFill>
        <a:blip r:embed="rId427" r:link="rId2"/>
        <a:stretch>
          <a:fillRect/>
        </a:stretch>
      </xdr:blipFill>
      <xdr:spPr>
        <a:xfrm>
          <a:off x="685800" y="25850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" name="ID_018E49F35B08414A869D371453FE3114" descr="圣女戒指"/>
        <xdr:cNvPicPr>
          <a:picLocks noChangeAspect="1"/>
        </xdr:cNvPicPr>
      </xdr:nvPicPr>
      <xdr:blipFill>
        <a:blip r:embed="rId428" r:link="rId2"/>
        <a:stretch>
          <a:fillRect/>
        </a:stretch>
      </xdr:blipFill>
      <xdr:spPr>
        <a:xfrm>
          <a:off x="685800" y="26308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" name="ID_F276508E8F47460C861AA68C40802703" descr="幽邃戒指"/>
        <xdr:cNvPicPr>
          <a:picLocks noChangeAspect="1"/>
        </xdr:cNvPicPr>
      </xdr:nvPicPr>
      <xdr:blipFill>
        <a:blip r:embed="rId429" r:link="rId2"/>
        <a:stretch>
          <a:fillRect/>
        </a:stretch>
      </xdr:blipFill>
      <xdr:spPr>
        <a:xfrm>
          <a:off x="685800" y="26612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" name="ID_4C51DD75372D42088DBFDECEFC10A9EA" descr="暗月戒指"/>
        <xdr:cNvPicPr>
          <a:picLocks noChangeAspect="1"/>
        </xdr:cNvPicPr>
      </xdr:nvPicPr>
      <xdr:blipFill>
        <a:blip r:embed="rId430" r:link="rId2"/>
        <a:stretch>
          <a:fillRect/>
        </a:stretch>
      </xdr:blipFill>
      <xdr:spPr>
        <a:xfrm>
          <a:off x="685800" y="26917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" name="ID_F4055733E6A04CAABE0AB1A9F021F112" descr="稚嫩龙徽戒指"/>
        <xdr:cNvPicPr>
          <a:picLocks noChangeAspect="1"/>
        </xdr:cNvPicPr>
      </xdr:nvPicPr>
      <xdr:blipFill>
        <a:blip r:embed="rId431" r:link="rId2"/>
        <a:stretch>
          <a:fillRect/>
        </a:stretch>
      </xdr:blipFill>
      <xdr:spPr>
        <a:xfrm>
          <a:off x="685800" y="27222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" name="ID_3FF4B0FBE13B4D9FB5351609FCA98BE4" descr="狂吼龙徽戒指"/>
        <xdr:cNvPicPr>
          <a:picLocks noChangeAspect="1"/>
        </xdr:cNvPicPr>
      </xdr:nvPicPr>
      <xdr:blipFill>
        <a:blip r:embed="rId432" r:link="rId2"/>
        <a:stretch>
          <a:fillRect/>
        </a:stretch>
      </xdr:blipFill>
      <xdr:spPr>
        <a:xfrm>
          <a:off x="685800" y="27527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" name="ID_D824B7BBB2E64692AA73AC1DED720EAB" descr="大沼戒指"/>
        <xdr:cNvPicPr>
          <a:picLocks noChangeAspect="1"/>
        </xdr:cNvPicPr>
      </xdr:nvPicPr>
      <xdr:blipFill>
        <a:blip r:embed="rId433" r:link="rId2"/>
        <a:stretch>
          <a:fillRect/>
        </a:stretch>
      </xdr:blipFill>
      <xdr:spPr>
        <a:xfrm>
          <a:off x="685800" y="27832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0" name="ID_3F0C8BC82FBB4137B3B807EE72E16973" descr="濡湿小镰刀"/>
        <xdr:cNvPicPr>
          <a:picLocks noChangeAspect="1"/>
        </xdr:cNvPicPr>
      </xdr:nvPicPr>
      <xdr:blipFill>
        <a:blip r:embed="rId434" r:link="rId2"/>
        <a:stretch>
          <a:fillRect/>
        </a:stretch>
      </xdr:blipFill>
      <xdr:spPr>
        <a:xfrm>
          <a:off x="685800" y="2933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1" name="ID_8B1FD2D0B6B749E1BBA8283321A0A75B" descr="蓝宝珠短剑"/>
        <xdr:cNvPicPr>
          <a:picLocks noChangeAspect="1"/>
        </xdr:cNvPicPr>
      </xdr:nvPicPr>
      <xdr:blipFill>
        <a:blip r:embed="rId435" r:link="rId2"/>
        <a:stretch>
          <a:fillRect/>
        </a:stretch>
      </xdr:blipFill>
      <xdr:spPr>
        <a:xfrm>
          <a:off x="685800" y="2762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2" name="ID_BC18123152C644058D99E1C83B4CAC97" descr="成对山贼短刀"/>
        <xdr:cNvPicPr>
          <a:picLocks noChangeAspect="1"/>
        </xdr:cNvPicPr>
      </xdr:nvPicPr>
      <xdr:blipFill>
        <a:blip r:embed="rId436" r:link="rId2"/>
        <a:stretch>
          <a:fillRect/>
        </a:stretch>
      </xdr:blipFill>
      <xdr:spPr>
        <a:xfrm>
          <a:off x="685800" y="245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3" name="ID_FF894D27DF1344FBA49A329B0B105A69" descr="破甲细剑"/>
        <xdr:cNvPicPr>
          <a:picLocks noChangeAspect="1"/>
        </xdr:cNvPicPr>
      </xdr:nvPicPr>
      <xdr:blipFill>
        <a:blip r:embed="rId437" r:link="rId2"/>
        <a:stretch>
          <a:fillRect/>
        </a:stretch>
      </xdr:blipFill>
      <xdr:spPr>
        <a:xfrm>
          <a:off x="685800" y="2286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4" name="ID_9C3B9B495C9B46FB83E4CC114CE4890D" descr="侍女短剑"/>
        <xdr:cNvPicPr>
          <a:picLocks noChangeAspect="1"/>
        </xdr:cNvPicPr>
      </xdr:nvPicPr>
      <xdr:blipFill>
        <a:blip r:embed="rId438" r:link="rId2"/>
        <a:stretch>
          <a:fillRect/>
        </a:stretch>
      </xdr:blipFill>
      <xdr:spPr>
        <a:xfrm>
          <a:off x="685800" y="2114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5" name="ID_176CC55A3E0A48129ADBE376A18EB4A1" descr="格挡匕首"/>
        <xdr:cNvPicPr>
          <a:picLocks noChangeAspect="1"/>
        </xdr:cNvPicPr>
      </xdr:nvPicPr>
      <xdr:blipFill>
        <a:blip r:embed="rId439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6" name="ID_D612C3F177E041FC852FA8AE80517A4A" descr="匕首"/>
        <xdr:cNvPicPr>
          <a:picLocks noChangeAspect="1"/>
        </xdr:cNvPicPr>
      </xdr:nvPicPr>
      <xdr:blipFill>
        <a:blip r:embed="rId440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7" name="ID_D450294DF5E04F1D964F9F386DD1E678" descr="盗贼短刀"/>
        <xdr:cNvPicPr>
          <a:picLocks noChangeAspect="1"/>
        </xdr:cNvPicPr>
      </xdr:nvPicPr>
      <xdr:blipFill>
        <a:blip r:embed="rId441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8" name="ID_BC8A299722F840A39DF912D471BCDD93" descr="咕鲁腐败短刀"/>
        <xdr:cNvPicPr>
          <a:picLocks noChangeAspect="1"/>
        </xdr:cNvPicPr>
      </xdr:nvPicPr>
      <xdr:blipFill>
        <a:blip r:embed="rId442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29" name="ID_7E707EA5D1B6439994A2DD5CAED27CC8" descr="镰刀剑"/>
        <xdr:cNvPicPr>
          <a:picLocks noChangeAspect="1"/>
        </xdr:cNvPicPr>
      </xdr:nvPicPr>
      <xdr:blipFill>
        <a:blip r:embed="rId443" r:link="rId2"/>
        <a:stretch>
          <a:fillRect/>
        </a:stretch>
      </xdr:blipFill>
      <xdr:spPr>
        <a:xfrm>
          <a:off x="685800" y="1428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0" name="ID_E981BB12C650458F9E23C4095E3CD909" descr="贤者烛台"/>
        <xdr:cNvPicPr>
          <a:picLocks noChangeAspect="1"/>
        </xdr:cNvPicPr>
      </xdr:nvPicPr>
      <xdr:blipFill>
        <a:blip r:embed="rId444" r:link="rId2"/>
        <a:stretch>
          <a:fillRect/>
        </a:stretch>
      </xdr:blipFill>
      <xdr:spPr>
        <a:xfrm>
          <a:off x="685800" y="1600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1" name="ID_B6B918B63E174AD783A3912F7143CF61" descr="尾骨短剑"/>
        <xdr:cNvPicPr>
          <a:picLocks noChangeAspect="1"/>
        </xdr:cNvPicPr>
      </xdr:nvPicPr>
      <xdr:blipFill>
        <a:blip r:embed="rId445" r:link="rId2"/>
        <a:stretch>
          <a:fillRect/>
        </a:stretch>
      </xdr:blipFill>
      <xdr:spPr>
        <a:xfrm>
          <a:off x="685800" y="1771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2" name="ID_300162BFB4B04C39A9F39CF8FEB11C3D" descr="鸦人大短刀"/>
        <xdr:cNvPicPr>
          <a:picLocks noChangeAspect="1"/>
        </xdr:cNvPicPr>
      </xdr:nvPicPr>
      <xdr:blipFill>
        <a:blip r:embed="rId446" r:link="rId2"/>
        <a:stretch>
          <a:fillRect/>
        </a:stretch>
      </xdr:blipFill>
      <xdr:spPr>
        <a:xfrm>
          <a:off x="685800" y="1943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3" name="ID_A69CB7B5708F47259314099D75D3873E" descr="果敢心"/>
        <xdr:cNvPicPr>
          <a:picLocks noChangeAspect="1"/>
        </xdr:cNvPicPr>
      </xdr:nvPicPr>
      <xdr:blipFill>
        <a:blip r:embed="rId447" r:link="rId2"/>
        <a:stretch>
          <a:fillRect/>
        </a:stretch>
      </xdr:blipFill>
      <xdr:spPr>
        <a:xfrm>
          <a:off x="685800" y="3981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4" name="ID_EFE4517FE06944E3BBAA11B23D91542E" descr="歌德希尔特对剑"/>
        <xdr:cNvPicPr>
          <a:picLocks noChangeAspect="1"/>
        </xdr:cNvPicPr>
      </xdr:nvPicPr>
      <xdr:blipFill>
        <a:blip r:embed="rId448" r:link="rId2"/>
        <a:stretch>
          <a:fillRect/>
        </a:stretch>
      </xdr:blipFill>
      <xdr:spPr>
        <a:xfrm>
          <a:off x="685800" y="3676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5" name="ID_809724828B3542419152911252AF3387" descr="洛斯里克圣剑"/>
        <xdr:cNvPicPr>
          <a:picLocks noChangeAspect="1"/>
        </xdr:cNvPicPr>
      </xdr:nvPicPr>
      <xdr:blipFill>
        <a:blip r:embed="rId449" r:link="rId2"/>
        <a:stretch>
          <a:fillRect/>
        </a:stretch>
      </xdr:blipFill>
      <xdr:spPr>
        <a:xfrm>
          <a:off x="685800" y="3371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6" name="ID_420F947A0E4D4CDE92D90238B7A077F0" descr="黑暗剑"/>
        <xdr:cNvPicPr>
          <a:picLocks noChangeAspect="1"/>
        </xdr:cNvPicPr>
      </xdr:nvPicPr>
      <xdr:blipFill>
        <a:blip r:embed="rId450" r:link="rId2"/>
        <a:stretch>
          <a:fillRect/>
        </a:stretch>
      </xdr:blipFill>
      <xdr:spPr>
        <a:xfrm>
          <a:off x="685800" y="3200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7" name="ID_1776E4A5097C4BE3AE43C872FA14E1E5" descr="安里的直剑"/>
        <xdr:cNvPicPr>
          <a:picLocks noChangeAspect="1"/>
        </xdr:cNvPicPr>
      </xdr:nvPicPr>
      <xdr:blipFill>
        <a:blip r:embed="rId451" r:link="rId2"/>
        <a:stretch>
          <a:fillRect/>
        </a:stretch>
      </xdr:blipFill>
      <xdr:spPr>
        <a:xfrm>
          <a:off x="685800" y="3028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8" name="ID_9014FAC7A29C415D9BFE6271A9A46BFB" descr="刺针直剑"/>
        <xdr:cNvPicPr>
          <a:picLocks noChangeAspect="1"/>
        </xdr:cNvPicPr>
      </xdr:nvPicPr>
      <xdr:blipFill>
        <a:blip r:embed="rId452" r:link="rId2"/>
        <a:stretch>
          <a:fillRect/>
        </a:stretch>
      </xdr:blipFill>
      <xdr:spPr>
        <a:xfrm>
          <a:off x="685800" y="2857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39" name="ID_EC3C0D1C5D744EBB9C7ED6F2D409CB8F" descr="亚斯特拉直剑"/>
        <xdr:cNvPicPr>
          <a:picLocks noChangeAspect="1"/>
        </xdr:cNvPicPr>
      </xdr:nvPicPr>
      <xdr:blipFill>
        <a:blip r:embed="rId453" r:link="rId2"/>
        <a:stretch>
          <a:fillRect/>
        </a:stretch>
      </xdr:blipFill>
      <xdr:spPr>
        <a:xfrm>
          <a:off x="685800" y="2552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0" name="ID_24775F8850934EB19E7E881BE7A4016F" descr="摩利安刃剑"/>
        <xdr:cNvPicPr>
          <a:picLocks noChangeAspect="1"/>
        </xdr:cNvPicPr>
      </xdr:nvPicPr>
      <xdr:blipFill>
        <a:blip r:embed="rId454" r:link="rId2"/>
        <a:stretch>
          <a:fillRect/>
        </a:stretch>
      </xdr:blipFill>
      <xdr:spPr>
        <a:xfrm>
          <a:off x="685800" y="2381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1" name="ID_E7C08688AE6A40C6AAA273E58589E855" descr="圣者烛台"/>
        <xdr:cNvPicPr>
          <a:picLocks noChangeAspect="1"/>
        </xdr:cNvPicPr>
      </xdr:nvPicPr>
      <xdr:blipFill>
        <a:blip r:embed="rId455" r:link="rId2"/>
        <a:stretch>
          <a:fillRect/>
        </a:stretch>
      </xdr:blipFill>
      <xdr:spPr>
        <a:xfrm>
          <a:off x="685800" y="2209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2" name="ID_B5F67A739C874CC7B3C67867CFC0D947" descr="环印骑士直剑"/>
        <xdr:cNvPicPr>
          <a:picLocks noChangeAspect="1"/>
        </xdr:cNvPicPr>
      </xdr:nvPicPr>
      <xdr:blipFill>
        <a:blip r:embed="rId456" r:link="rId2"/>
        <a:stretch>
          <a:fillRect/>
        </a:stretch>
      </xdr:blipFill>
      <xdr:spPr>
        <a:xfrm>
          <a:off x="685800" y="4152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3" name="ID_0062A73A9D644C8A893C1C585F8AB0C4" descr="短剑"/>
        <xdr:cNvPicPr>
          <a:picLocks noChangeAspect="1"/>
        </xdr:cNvPicPr>
      </xdr:nvPicPr>
      <xdr:blipFill>
        <a:blip r:embed="rId457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4" name="ID_8D897703C6D14E35B8FCEA00BFB12379" descr="长剑"/>
        <xdr:cNvPicPr>
          <a:picLocks noChangeAspect="1"/>
        </xdr:cNvPicPr>
      </xdr:nvPicPr>
      <xdr:blipFill>
        <a:blip r:embed="rId458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5" name="ID_F79D42F1F7EE4428B29B7CC633D1CBF0" descr="阔剑"/>
        <xdr:cNvPicPr>
          <a:picLocks noChangeAspect="1"/>
        </xdr:cNvPicPr>
      </xdr:nvPicPr>
      <xdr:blipFill>
        <a:blip r:embed="rId459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6" name="ID_0B0484F1013746B3B2519BBEFC4588F4" descr="已折断的直剑"/>
        <xdr:cNvPicPr>
          <a:picLocks noChangeAspect="1"/>
        </xdr:cNvPicPr>
      </xdr:nvPicPr>
      <xdr:blipFill>
        <a:blip r:embed="rId460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7" name="ID_A0B67804F64C483CBB2B76548B8180B6" descr="洛斯里克骑士剑"/>
        <xdr:cNvPicPr>
          <a:picLocks noChangeAspect="1"/>
        </xdr:cNvPicPr>
      </xdr:nvPicPr>
      <xdr:blipFill>
        <a:blip r:embed="rId461" r:link="rId2"/>
        <a:stretch>
          <a:fillRect/>
        </a:stretch>
      </xdr:blipFill>
      <xdr:spPr>
        <a:xfrm>
          <a:off x="685800" y="1428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8" name="ID_127B8BFB813A49C88C8C1307E1CC6DBF" descr="太阳直剑"/>
        <xdr:cNvPicPr>
          <a:picLocks noChangeAspect="1"/>
        </xdr:cNvPicPr>
      </xdr:nvPicPr>
      <xdr:blipFill>
        <a:blip r:embed="rId462" r:link="rId2"/>
        <a:stretch>
          <a:fillRect/>
        </a:stretch>
      </xdr:blipFill>
      <xdr:spPr>
        <a:xfrm>
          <a:off x="685800" y="1733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49" name="ID_77A245BF5F1C43D29B02FB058E0045CA" descr="伊鲁席尔直剑"/>
        <xdr:cNvPicPr>
          <a:picLocks noChangeAspect="1"/>
        </xdr:cNvPicPr>
      </xdr:nvPicPr>
      <xdr:blipFill>
        <a:blip r:embed="rId463" r:link="rId2"/>
        <a:stretch>
          <a:fillRect/>
        </a:stretch>
      </xdr:blipFill>
      <xdr:spPr>
        <a:xfrm>
          <a:off x="685800" y="1905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0" name="ID_E8BECE60080740578FC20CDA11C90703" descr="盖尔大剑"/>
        <xdr:cNvPicPr>
          <a:picLocks noChangeAspect="1"/>
        </xdr:cNvPicPr>
      </xdr:nvPicPr>
      <xdr:blipFill>
        <a:blip r:embed="rId464" r:link="rId2"/>
        <a:stretch>
          <a:fillRect/>
        </a:stretch>
      </xdr:blipFill>
      <xdr:spPr>
        <a:xfrm>
          <a:off x="685800" y="3581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1" name="ID_C2A16946AD914A818C8BFFC3D4DC7C20" descr="缟玛瑙刃剑"/>
        <xdr:cNvPicPr>
          <a:picLocks noChangeAspect="1"/>
        </xdr:cNvPicPr>
      </xdr:nvPicPr>
      <xdr:blipFill>
        <a:blip r:embed="rId465" r:link="rId2"/>
        <a:stretch>
          <a:fillRect/>
        </a:stretch>
      </xdr:blipFill>
      <xdr:spPr>
        <a:xfrm>
          <a:off x="685800" y="3276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2" name="ID_AB7CFC34CAB24351804940BD512093DE" descr="风暴管束者"/>
        <xdr:cNvPicPr>
          <a:picLocks noChangeAspect="1"/>
        </xdr:cNvPicPr>
      </xdr:nvPicPr>
      <xdr:blipFill>
        <a:blip r:embed="rId466" r:link="rId2"/>
        <a:stretch>
          <a:fillRect/>
        </a:stretch>
      </xdr:blipFill>
      <xdr:spPr>
        <a:xfrm>
          <a:off x="685800" y="3105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3" name="ID_16C5C4BAFD534ED9A49C70023A2AA45C" descr="传火大剑"/>
        <xdr:cNvPicPr>
          <a:picLocks noChangeAspect="1"/>
        </xdr:cNvPicPr>
      </xdr:nvPicPr>
      <xdr:blipFill>
        <a:blip r:embed="rId467" r:link="rId2"/>
        <a:stretch>
          <a:fillRect/>
        </a:stretch>
      </xdr:blipFill>
      <xdr:spPr>
        <a:xfrm>
          <a:off x="685800" y="2933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4" name="ID_A354666DF30C4A408770CF9248248244" descr="龙血大剑"/>
        <xdr:cNvPicPr>
          <a:picLocks noChangeAspect="1"/>
        </xdr:cNvPicPr>
      </xdr:nvPicPr>
      <xdr:blipFill>
        <a:blip r:embed="rId468" r:link="rId2"/>
        <a:stretch>
          <a:fillRect/>
        </a:stretch>
      </xdr:blipFill>
      <xdr:spPr>
        <a:xfrm>
          <a:off x="685800" y="2762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5" name="ID_67F8540A7CC844178F491BD81E789CAA" descr="月光大剑"/>
        <xdr:cNvPicPr>
          <a:picLocks noChangeAspect="1"/>
        </xdr:cNvPicPr>
      </xdr:nvPicPr>
      <xdr:blipFill>
        <a:blip r:embed="rId469" r:link="rId2"/>
        <a:stretch>
          <a:fillRect/>
        </a:stretch>
      </xdr:blipFill>
      <xdr:spPr>
        <a:xfrm>
          <a:off x="685800" y="2590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6" name="ID_A91EAA79BB424FF9B4E3DAEED55E9E3B" descr="猎杀游魂大剑"/>
        <xdr:cNvPicPr>
          <a:picLocks noChangeAspect="1"/>
        </xdr:cNvPicPr>
      </xdr:nvPicPr>
      <xdr:blipFill>
        <a:blip r:embed="rId470" r:link="rId2"/>
        <a:stretch>
          <a:fillRect/>
        </a:stretch>
      </xdr:blipFill>
      <xdr:spPr>
        <a:xfrm>
          <a:off x="685800" y="2286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7" name="ID_B630B0FDEEF54E36A4B0B588CDCECDEA" descr="孪生王子大剑"/>
        <xdr:cNvPicPr>
          <a:picLocks noChangeAspect="1"/>
        </xdr:cNvPicPr>
      </xdr:nvPicPr>
      <xdr:blipFill>
        <a:blip r:embed="rId471" r:link="rId2"/>
        <a:stretch>
          <a:fillRect/>
        </a:stretch>
      </xdr:blipFill>
      <xdr:spPr>
        <a:xfrm>
          <a:off x="685800" y="163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8" name="ID_AF7E15837C2747E6AEB1A254F3228FE4" descr="处刑者大剑"/>
        <xdr:cNvPicPr>
          <a:picLocks noChangeAspect="1"/>
        </xdr:cNvPicPr>
      </xdr:nvPicPr>
      <xdr:blipFill>
        <a:blip r:embed="rId472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59" name="ID_06038258E93D4A3D9E78B6A415846081" descr="混种大剑"/>
        <xdr:cNvPicPr>
          <a:picLocks noChangeAspect="1"/>
        </xdr:cNvPicPr>
      </xdr:nvPicPr>
      <xdr:blipFill>
        <a:blip r:embed="rId473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0" name="ID_00A4F666EE094744BBAC1C15C8BCB4EF" descr="焰形大剑"/>
        <xdr:cNvPicPr>
          <a:picLocks noChangeAspect="1"/>
        </xdr:cNvPicPr>
      </xdr:nvPicPr>
      <xdr:blipFill>
        <a:blip r:embed="rId474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1" name="ID_0A27655D15034351B6DBEC9E2D689580" descr="制裁大剑"/>
        <xdr:cNvPicPr>
          <a:picLocks noChangeAspect="1"/>
        </xdr:cNvPicPr>
      </xdr:nvPicPr>
      <xdr:blipFill>
        <a:blip r:embed="rId475" r:link="rId2"/>
        <a:stretch>
          <a:fillRect/>
        </a:stretch>
      </xdr:blipFill>
      <xdr:spPr>
        <a:xfrm>
          <a:off x="685800" y="129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2" name="ID_4AF5A305B98C4EDCA2BBD6E626416A52" descr="黑骑士剑"/>
        <xdr:cNvPicPr>
          <a:picLocks noChangeAspect="1"/>
        </xdr:cNvPicPr>
      </xdr:nvPicPr>
      <xdr:blipFill>
        <a:blip r:embed="rId476" r:link="rId2"/>
        <a:stretch>
          <a:fillRect/>
        </a:stretch>
      </xdr:blipFill>
      <xdr:spPr>
        <a:xfrm>
          <a:off x="685800" y="146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3" name="ID_107AB3A8551342EEB5C0ADFB0C110C81" descr="沃尼尔圣剑"/>
        <xdr:cNvPicPr>
          <a:picLocks noChangeAspect="1"/>
        </xdr:cNvPicPr>
      </xdr:nvPicPr>
      <xdr:blipFill>
        <a:blip r:embed="rId477" r:link="rId2"/>
        <a:stretch>
          <a:fillRect/>
        </a:stretch>
      </xdr:blipFill>
      <xdr:spPr>
        <a:xfrm>
          <a:off x="685800" y="1943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4" name="ID_EE953BE9DE62482BA0896BC05D5D2F5A" descr="狼骑士大剑"/>
        <xdr:cNvPicPr>
          <a:picLocks noChangeAspect="1"/>
        </xdr:cNvPicPr>
      </xdr:nvPicPr>
      <xdr:blipFill>
        <a:blip r:embed="rId478" r:link="rId2"/>
        <a:stretch>
          <a:fillRect/>
        </a:stretch>
      </xdr:blipFill>
      <xdr:spPr>
        <a:xfrm>
          <a:off x="685800" y="2114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5" name="ID_D11CF04EB60644BCB47DE2C99521994C" descr="大剑"/>
        <xdr:cNvPicPr>
          <a:picLocks noChangeAspect="1"/>
        </xdr:cNvPicPr>
      </xdr:nvPicPr>
      <xdr:blipFill>
        <a:blip r:embed="rId479" r:link="rId2"/>
        <a:stretch>
          <a:fillRect/>
        </a:stretch>
      </xdr:blipFill>
      <xdr:spPr>
        <a:xfrm>
          <a:off x="885825" y="2609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6" name="ID_217A345781A74A28ABD3F7360B736220" descr="漫烟特大剑"/>
        <xdr:cNvPicPr>
          <a:picLocks noChangeAspect="1"/>
        </xdr:cNvPicPr>
      </xdr:nvPicPr>
      <xdr:blipFill>
        <a:blip r:embed="rId480" r:link="rId2"/>
        <a:stretch>
          <a:fillRect/>
        </a:stretch>
      </xdr:blipFill>
      <xdr:spPr>
        <a:xfrm>
          <a:off x="685800" y="2686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7" name="ID_CBD676873C9D4C7A8E71F2054B3B53BB" descr="洛里安大剑"/>
        <xdr:cNvPicPr>
          <a:picLocks noChangeAspect="1"/>
        </xdr:cNvPicPr>
      </xdr:nvPicPr>
      <xdr:blipFill>
        <a:blip r:embed="rId481" r:link="rId2"/>
        <a:stretch>
          <a:fillRect/>
        </a:stretch>
      </xdr:blipFill>
      <xdr:spPr>
        <a:xfrm>
          <a:off x="685800" y="2381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8" name="ID_2B7075D0FED0479A8CE83AF4E10A18CC" descr="法兰大剑"/>
        <xdr:cNvPicPr>
          <a:picLocks noChangeAspect="1"/>
        </xdr:cNvPicPr>
      </xdr:nvPicPr>
      <xdr:blipFill>
        <a:blip r:embed="rId482" r:link="rId2"/>
        <a:stretch>
          <a:fillRect/>
        </a:stretch>
      </xdr:blipFill>
      <xdr:spPr>
        <a:xfrm>
          <a:off x="685800" y="2209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69" name="ID_0583FF2F61264BAC8D21E3C29E415156" descr="环印骑士成对大剑"/>
        <xdr:cNvPicPr>
          <a:picLocks noChangeAspect="1"/>
        </xdr:cNvPicPr>
      </xdr:nvPicPr>
      <xdr:blipFill>
        <a:blip r:embed="rId483" r:link="rId2"/>
        <a:stretch>
          <a:fillRect/>
        </a:stretch>
      </xdr:blipFill>
      <xdr:spPr>
        <a:xfrm>
          <a:off x="685800" y="2857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0" name="ID_8A9143C6B9854518A3F7C96FE94231A6" descr="双手巨剑"/>
        <xdr:cNvPicPr>
          <a:picLocks noChangeAspect="1"/>
        </xdr:cNvPicPr>
      </xdr:nvPicPr>
      <xdr:blipFill>
        <a:blip r:embed="rId484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1" name="ID_C203FF4328EE4483813965899C6193A2" descr="巨剑"/>
        <xdr:cNvPicPr>
          <a:picLocks noChangeAspect="1"/>
        </xdr:cNvPicPr>
      </xdr:nvPicPr>
      <xdr:blipFill>
        <a:blip r:embed="rId485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2" name="ID_B0B62A2818E745109A30D8CEA00E9588" descr="亚斯特拉大剑"/>
        <xdr:cNvPicPr>
          <a:picLocks noChangeAspect="1"/>
        </xdr:cNvPicPr>
      </xdr:nvPicPr>
      <xdr:blipFill>
        <a:blip r:embed="rId486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3" name="ID_E371945C420B412BBCAB33F5500FA007" descr="洛斯里克骑士大剑"/>
        <xdr:cNvPicPr>
          <a:picLocks noChangeAspect="1"/>
        </xdr:cNvPicPr>
      </xdr:nvPicPr>
      <xdr:blipFill>
        <a:blip r:embed="rId487" r:link="rId2"/>
        <a:stretch>
          <a:fillRect/>
        </a:stretch>
      </xdr:blipFill>
      <xdr:spPr>
        <a:xfrm>
          <a:off x="685800" y="1257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4" name="ID_14E98E1F93A94DCC85B8493ED9E26EAC" descr="黑骑士大剑"/>
        <xdr:cNvPicPr>
          <a:picLocks noChangeAspect="1"/>
        </xdr:cNvPicPr>
      </xdr:nvPicPr>
      <xdr:blipFill>
        <a:blip r:embed="rId488" r:link="rId2"/>
        <a:stretch>
          <a:fillRect/>
        </a:stretch>
      </xdr:blipFill>
      <xdr:spPr>
        <a:xfrm>
          <a:off x="685800" y="1562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5" name="ID_3605F8BDFD364A7C83B2CEB1BF27D61F" descr="罪业大剑"/>
        <xdr:cNvPicPr>
          <a:picLocks noChangeAspect="1"/>
        </xdr:cNvPicPr>
      </xdr:nvPicPr>
      <xdr:blipFill>
        <a:blip r:embed="rId489" r:link="rId2"/>
        <a:stretch>
          <a:fillRect/>
        </a:stretch>
      </xdr:blipFill>
      <xdr:spPr>
        <a:xfrm>
          <a:off x="685800" y="1733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6" name="ID_FCD3705DA33A407E8815AA9B94013DE0" descr="教堂骑士大剑"/>
        <xdr:cNvPicPr>
          <a:picLocks noChangeAspect="1"/>
        </xdr:cNvPicPr>
      </xdr:nvPicPr>
      <xdr:blipFill>
        <a:blip r:embed="rId490" r:link="rId2"/>
        <a:stretch>
          <a:fillRect/>
        </a:stretch>
      </xdr:blipFill>
      <xdr:spPr>
        <a:xfrm>
          <a:off x="685800" y="1905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7" name="ID_07517BE8B8294D898111E28AD3CCC6F4" descr="恶魔爪痕"/>
        <xdr:cNvPicPr>
          <a:picLocks noChangeAspect="1"/>
        </xdr:cNvPicPr>
      </xdr:nvPicPr>
      <xdr:blipFill>
        <a:blip r:embed="rId491" r:link="rId2"/>
        <a:stretch>
          <a:fillRect/>
        </a:stretch>
      </xdr:blipFill>
      <xdr:spPr>
        <a:xfrm>
          <a:off x="685800" y="3543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8" name="ID_1DC05F5538A2452796E19813C3302180" descr="幽魂军刀"/>
        <xdr:cNvPicPr>
          <a:picLocks noChangeAspect="1"/>
        </xdr:cNvPicPr>
      </xdr:nvPicPr>
      <xdr:blipFill>
        <a:blip r:embed="rId492" r:link="rId2"/>
        <a:stretch>
          <a:fillRect/>
        </a:stretch>
      </xdr:blipFill>
      <xdr:spPr>
        <a:xfrm>
          <a:off x="685800" y="3371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79" name="ID_18FF85DCBEEA4C418058DD5A2D2023B9" descr="成对舞娘魔剑"/>
        <xdr:cNvPicPr>
          <a:picLocks noChangeAspect="1"/>
        </xdr:cNvPicPr>
      </xdr:nvPicPr>
      <xdr:blipFill>
        <a:blip r:embed="rId493" r:link="rId2"/>
        <a:stretch>
          <a:fillRect/>
        </a:stretch>
      </xdr:blipFill>
      <xdr:spPr>
        <a:xfrm>
          <a:off x="685800" y="3067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0" name="ID_7C1F2D52D1044CCBA3D52F081EBABA5A" descr="守墓人对刀"/>
        <xdr:cNvPicPr>
          <a:picLocks noChangeAspect="1"/>
        </xdr:cNvPicPr>
      </xdr:nvPicPr>
      <xdr:blipFill>
        <a:blip r:embed="rId494" r:link="rId2"/>
        <a:stretch>
          <a:fillRect/>
        </a:stretch>
      </xdr:blipFill>
      <xdr:spPr>
        <a:xfrm>
          <a:off x="685800" y="2895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1" name="ID_C72938D2E1764F80A07C7A88F3944A85" descr="佣兵对刀"/>
        <xdr:cNvPicPr>
          <a:picLocks noChangeAspect="1"/>
        </xdr:cNvPicPr>
      </xdr:nvPicPr>
      <xdr:blipFill>
        <a:blip r:embed="rId495" r:link="rId2"/>
        <a:stretch>
          <a:fillRect/>
        </a:stretch>
      </xdr:blipFill>
      <xdr:spPr>
        <a:xfrm>
          <a:off x="685800" y="2724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2" name="ID_DAD6D19CF47345A99DF34DE2B3F2E312" descr="卡萨斯钩剑"/>
        <xdr:cNvPicPr>
          <a:picLocks noChangeAspect="1"/>
        </xdr:cNvPicPr>
      </xdr:nvPicPr>
      <xdr:blipFill>
        <a:blip r:embed="rId496" r:link="rId2"/>
        <a:stretch>
          <a:fillRect/>
        </a:stretch>
      </xdr:blipFill>
      <xdr:spPr>
        <a:xfrm>
          <a:off x="685800" y="2552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76" name="ID_3BAA232B3F8A40C9B077BD7A6E5894C9" descr="教宗骑士曲剑"/>
        <xdr:cNvPicPr>
          <a:picLocks noChangeAspect="1"/>
        </xdr:cNvPicPr>
      </xdr:nvPicPr>
      <xdr:blipFill>
        <a:blip r:embed="rId497" r:link="rId2"/>
        <a:stretch>
          <a:fillRect/>
        </a:stretch>
      </xdr:blipFill>
      <xdr:spPr>
        <a:xfrm>
          <a:off x="685800" y="1600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89" name="ID_5843208957B641BFAD3AF02AD6A675DA" descr="咕鲁腐败曲刀"/>
        <xdr:cNvPicPr>
          <a:picLocks noChangeAspect="1"/>
        </xdr:cNvPicPr>
      </xdr:nvPicPr>
      <xdr:blipFill>
        <a:blip r:embed="rId498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5" name="ID_CC541E469C5242FBB1761E52C13EBC06" descr="钩剑"/>
        <xdr:cNvPicPr>
          <a:picLocks noChangeAspect="1"/>
        </xdr:cNvPicPr>
      </xdr:nvPicPr>
      <xdr:blipFill>
        <a:blip r:embed="rId499" r:link="rId2"/>
        <a:stretch>
          <a:fillRect/>
        </a:stretch>
      </xdr:blipFill>
      <xdr:spPr>
        <a:xfrm>
          <a:off x="685800" y="914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6" name="ID_35F3913C8DD44D3085151E123C1D65F0" descr="短弯刀"/>
        <xdr:cNvPicPr>
          <a:picLocks noChangeAspect="1"/>
        </xdr:cNvPicPr>
      </xdr:nvPicPr>
      <xdr:blipFill>
        <a:blip r:embed="rId500" r:link="rId2"/>
        <a:stretch>
          <a:fillRect/>
        </a:stretch>
      </xdr:blipFill>
      <xdr:spPr>
        <a:xfrm>
          <a:off x="685800" y="1085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7" name="ID_3518579947B248FB84088B9029A20A75" descr="弯刃大刀"/>
        <xdr:cNvPicPr>
          <a:picLocks noChangeAspect="1"/>
        </xdr:cNvPicPr>
      </xdr:nvPicPr>
      <xdr:blipFill>
        <a:blip r:embed="rId501" r:link="rId2"/>
        <a:stretch>
          <a:fillRect/>
        </a:stretch>
      </xdr:blipFill>
      <xdr:spPr>
        <a:xfrm>
          <a:off x="685800" y="1257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8" name="ID_02AD0F3CF6CB4A99898594D3F76F2851" descr="卡萨斯曲刀"/>
        <xdr:cNvPicPr>
          <a:picLocks noChangeAspect="1"/>
        </xdr:cNvPicPr>
      </xdr:nvPicPr>
      <xdr:blipFill>
        <a:blip r:embed="rId502" r:link="rId2"/>
        <a:stretch>
          <a:fillRect/>
        </a:stretch>
      </xdr:blipFill>
      <xdr:spPr>
        <a:xfrm>
          <a:off x="685800" y="1428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49" name="ID_90F01061157F47E4952B14643BC26081" descr="绘画使者曲剑"/>
        <xdr:cNvPicPr>
          <a:picLocks noChangeAspect="1"/>
        </xdr:cNvPicPr>
      </xdr:nvPicPr>
      <xdr:blipFill>
        <a:blip r:embed="rId503" r:link="rId2"/>
        <a:stretch>
          <a:fillRect/>
        </a:stretch>
      </xdr:blipFill>
      <xdr:spPr>
        <a:xfrm>
          <a:off x="685800" y="2076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0" name="ID_6496772B42D64E52AAF2160C151E57BB" descr="月牙曲剑"/>
        <xdr:cNvPicPr>
          <a:picLocks noChangeAspect="1"/>
        </xdr:cNvPicPr>
      </xdr:nvPicPr>
      <xdr:blipFill>
        <a:blip r:embed="rId504" r:link="rId2"/>
        <a:stretch>
          <a:fillRect/>
        </a:stretch>
      </xdr:blipFill>
      <xdr:spPr>
        <a:xfrm>
          <a:off x="685800" y="2381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1" name="ID_FC27A0DB5E1E4A6F8DCA4AB30C12717A" descr="风暴曲剑"/>
        <xdr:cNvPicPr>
          <a:picLocks noChangeAspect="1"/>
        </xdr:cNvPicPr>
      </xdr:nvPicPr>
      <xdr:blipFill>
        <a:blip r:embed="rId505" r:link="rId2"/>
        <a:stretch>
          <a:fillRect/>
        </a:stretch>
      </xdr:blipFill>
      <xdr:spPr>
        <a:xfrm>
          <a:off x="685800" y="6324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2" name="ID_7511CD829F1C41BA949496986C9CD38C" descr="老狼曲剑"/>
        <xdr:cNvPicPr>
          <a:picLocks noChangeAspect="1"/>
        </xdr:cNvPicPr>
      </xdr:nvPicPr>
      <xdr:blipFill>
        <a:blip r:embed="rId506" r:link="rId2"/>
        <a:stretch>
          <a:fillRect/>
        </a:stretch>
      </xdr:blipFill>
      <xdr:spPr>
        <a:xfrm>
          <a:off x="685800" y="1257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3" name="ID_4FB7DA0F1850451DBEE5276EEBE7C981" descr="丛云"/>
        <xdr:cNvPicPr>
          <a:picLocks noChangeAspect="1"/>
        </xdr:cNvPicPr>
      </xdr:nvPicPr>
      <xdr:blipFill>
        <a:blip r:embed="rId507" r:link="rId2"/>
        <a:stretch>
          <a:fillRect/>
        </a:stretch>
      </xdr:blipFill>
      <xdr:spPr>
        <a:xfrm>
          <a:off x="685800" y="914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4" name="ID_66C2CC97C6CA4A3AAEF572ADE240F5E6" descr="卡萨斯大曲刀"/>
        <xdr:cNvPicPr>
          <a:picLocks noChangeAspect="1"/>
        </xdr:cNvPicPr>
      </xdr:nvPicPr>
      <xdr:blipFill>
        <a:blip r:embed="rId508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5" name="ID_4DD67E928C8B4AEFA597E3E92E74DA55" descr="哈兰得大曲剑"/>
        <xdr:cNvPicPr>
          <a:picLocks noChangeAspect="1"/>
        </xdr:cNvPicPr>
      </xdr:nvPicPr>
      <xdr:blipFill>
        <a:blip r:embed="rId509" r:link="rId2"/>
        <a:stretch>
          <a:fillRect/>
        </a:stretch>
      </xdr:blipFill>
      <xdr:spPr>
        <a:xfrm>
          <a:off x="685800" y="1428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6" name="ID_67010AF31AF64830BE7AA5316228E1E5" descr="流放者大刀"/>
        <xdr:cNvPicPr>
          <a:picLocks noChangeAspect="1"/>
        </xdr:cNvPicPr>
      </xdr:nvPicPr>
      <xdr:blipFill>
        <a:blip r:embed="rId510" r:link="rId2"/>
        <a:stretch>
          <a:fillRect/>
        </a:stretch>
      </xdr:blipFill>
      <xdr:spPr>
        <a:xfrm>
          <a:off x="685800" y="2514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7" name="ID_3575A02BD9294410B5E4CBC1BC6D8C4D" descr="伊鲁席尔刺剑"/>
        <xdr:cNvPicPr>
          <a:picLocks noChangeAspect="1"/>
        </xdr:cNvPicPr>
      </xdr:nvPicPr>
      <xdr:blipFill>
        <a:blip r:embed="rId511" r:link="rId2"/>
        <a:stretch>
          <a:fillRect/>
        </a:stretch>
      </xdr:blipFill>
      <xdr:spPr>
        <a:xfrm>
          <a:off x="685800" y="1428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8" name="ID_3BC564A4166343EB887CFC7D1FFA0989" descr="结晶老者刺剑"/>
        <xdr:cNvPicPr>
          <a:picLocks noChangeAspect="1"/>
        </xdr:cNvPicPr>
      </xdr:nvPicPr>
      <xdr:blipFill>
        <a:blip r:embed="rId512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59" name="ID_5CA3906F83564B5886FF6868345C819C" descr="里卡尔刺剑"/>
        <xdr:cNvPicPr>
          <a:picLocks noChangeAspect="1"/>
        </xdr:cNvPicPr>
      </xdr:nvPicPr>
      <xdr:blipFill>
        <a:blip r:embed="rId513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0" name="ID_1C8CE7FC7C954C57B3AFA4517F60096A" descr="细剑"/>
        <xdr:cNvPicPr>
          <a:picLocks noChangeAspect="1"/>
        </xdr:cNvPicPr>
      </xdr:nvPicPr>
      <xdr:blipFill>
        <a:blip r:embed="rId514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1" name="ID_74946BDECE894546B87A234D67AF2CD2" descr="刺剑"/>
        <xdr:cNvPicPr>
          <a:picLocks noChangeAspect="1"/>
        </xdr:cNvPicPr>
      </xdr:nvPicPr>
      <xdr:blipFill>
        <a:blip r:embed="rId515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2" name="ID_896EBDA1BCE14942A72842688B922350" descr="鸦羽"/>
        <xdr:cNvPicPr>
          <a:picLocks noChangeAspect="1"/>
        </xdr:cNvPicPr>
      </xdr:nvPicPr>
      <xdr:blipFill>
        <a:blip r:embed="rId516" r:link="rId2"/>
        <a:stretch>
          <a:fillRect/>
        </a:stretch>
      </xdr:blipFill>
      <xdr:spPr>
        <a:xfrm>
          <a:off x="685800" y="1733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3" name="ID_D43D493388F9402CAF4788E8D4AF8F53" descr="鬼切与姥断"/>
        <xdr:cNvPicPr>
          <a:picLocks noChangeAspect="1"/>
        </xdr:cNvPicPr>
      </xdr:nvPicPr>
      <xdr:blipFill>
        <a:blip r:embed="rId517" r:link="rId2"/>
        <a:stretch>
          <a:fillRect/>
        </a:stretch>
      </xdr:blipFill>
      <xdr:spPr>
        <a:xfrm>
          <a:off x="685800" y="163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4" name="ID_4B2E8AFAAC724B589E7DA52842F8A3D8" descr="暗胧"/>
        <xdr:cNvPicPr>
          <a:picLocks noChangeAspect="1"/>
        </xdr:cNvPicPr>
      </xdr:nvPicPr>
      <xdr:blipFill>
        <a:blip r:embed="rId518" r:link="rId2"/>
        <a:stretch>
          <a:fillRect/>
        </a:stretch>
      </xdr:blipFill>
      <xdr:spPr>
        <a:xfrm>
          <a:off x="685800" y="146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5" name="ID_43C7E30E050244E7940D8DC868CDE8C9" descr="血癫狂"/>
        <xdr:cNvPicPr>
          <a:picLocks noChangeAspect="1"/>
        </xdr:cNvPicPr>
      </xdr:nvPicPr>
      <xdr:blipFill>
        <a:blip r:embed="rId519" r:link="rId2"/>
        <a:stretch>
          <a:fillRect/>
        </a:stretch>
      </xdr:blipFill>
      <xdr:spPr>
        <a:xfrm>
          <a:off x="685800" y="129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6" name="ID_9324119C9E1145BD9669F87C2B7C6699" descr="黑刀"/>
        <xdr:cNvPicPr>
          <a:picLocks noChangeAspect="1"/>
        </xdr:cNvPicPr>
      </xdr:nvPicPr>
      <xdr:blipFill>
        <a:blip r:embed="rId520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7" name="ID_BF1996CA71E440C2BEFDB22D90062314" descr="混沌刀刃"/>
        <xdr:cNvPicPr>
          <a:picLocks noChangeAspect="1"/>
        </xdr:cNvPicPr>
      </xdr:nvPicPr>
      <xdr:blipFill>
        <a:blip r:embed="rId521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8" name="ID_C90BE5C3DCF24FE0B9604F0348CD191E" descr="晾衣长刀"/>
        <xdr:cNvPicPr>
          <a:picLocks noChangeAspect="1"/>
        </xdr:cNvPicPr>
      </xdr:nvPicPr>
      <xdr:blipFill>
        <a:blip r:embed="rId522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69" name="ID_AFD7B5E3D2C546F981E36283289BC2B3" descr="打刀"/>
        <xdr:cNvPicPr>
          <a:picLocks noChangeAspect="1"/>
        </xdr:cNvPicPr>
      </xdr:nvPicPr>
      <xdr:blipFill>
        <a:blip r:embed="rId523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0" name="ID_41155C4DDB8A45E28C06AB37DB275D75" descr="破碎刀"/>
        <xdr:cNvPicPr>
          <a:picLocks noChangeAspect="1"/>
        </xdr:cNvPicPr>
      </xdr:nvPicPr>
      <xdr:blipFill>
        <a:blip r:embed="rId524" r:link="rId2"/>
        <a:stretch>
          <a:fillRect/>
        </a:stretch>
      </xdr:blipFill>
      <xdr:spPr>
        <a:xfrm>
          <a:off x="685800" y="1809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1" name="ID_0E99CB947A2B499099DFA4A598AFBE1A" descr="羽翼骑士断头斧"/>
        <xdr:cNvPicPr>
          <a:picLocks noChangeAspect="1"/>
        </xdr:cNvPicPr>
      </xdr:nvPicPr>
      <xdr:blipFill>
        <a:blip r:embed="rId525" r:link="rId2"/>
        <a:stretch>
          <a:fillRect/>
        </a:stretch>
      </xdr:blipFill>
      <xdr:spPr>
        <a:xfrm>
          <a:off x="685800" y="1981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2" name="ID_B5C9D7C86AF34969A02CACFD565FA104" descr="蛇人柴刀"/>
        <xdr:cNvPicPr>
          <a:picLocks noChangeAspect="1"/>
        </xdr:cNvPicPr>
      </xdr:nvPicPr>
      <xdr:blipFill>
        <a:blip r:embed="rId526" r:link="rId2"/>
        <a:stretch>
          <a:fillRect/>
        </a:stretch>
      </xdr:blipFill>
      <xdr:spPr>
        <a:xfrm>
          <a:off x="685800" y="1809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3" name="ID_569ABF1467FA4FECB559D09CBE72AB6E" descr="米尔伍德战斧"/>
        <xdr:cNvPicPr>
          <a:picLocks noChangeAspect="1"/>
        </xdr:cNvPicPr>
      </xdr:nvPicPr>
      <xdr:blipFill>
        <a:blip r:embed="rId527" r:link="rId2"/>
        <a:stretch>
          <a:fillRect/>
        </a:stretch>
      </xdr:blipFill>
      <xdr:spPr>
        <a:xfrm>
          <a:off x="685800" y="2286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4" name="ID_489DE309075E41FAA5E7038A856A31CD" descr="手斧"/>
        <xdr:cNvPicPr>
          <a:picLocks noChangeAspect="1"/>
        </xdr:cNvPicPr>
      </xdr:nvPicPr>
      <xdr:blipFill>
        <a:blip r:embed="rId528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5" name="ID_3621705D922C427C8355DF4FAA00A882" descr="战斧"/>
        <xdr:cNvPicPr>
          <a:picLocks noChangeAspect="1"/>
        </xdr:cNvPicPr>
      </xdr:nvPicPr>
      <xdr:blipFill>
        <a:blip r:embed="rId529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6" name="ID_E04572506EA14C19995487D3AE485EBD" descr="山贼斧"/>
        <xdr:cNvPicPr>
          <a:picLocks noChangeAspect="1"/>
        </xdr:cNvPicPr>
      </xdr:nvPicPr>
      <xdr:blipFill>
        <a:blip r:embed="rId530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7" name="ID_B8D4CE350E94418FAE3952374F2F14F4" descr="切肉菜刀"/>
        <xdr:cNvPicPr>
          <a:picLocks noChangeAspect="1"/>
        </xdr:cNvPicPr>
      </xdr:nvPicPr>
      <xdr:blipFill>
        <a:blip r:embed="rId531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8" name="ID_90C477DDB2ED46539A6DEEFAAEFC7F22" descr="屠龙斧"/>
        <xdr:cNvPicPr>
          <a:picLocks noChangeAspect="1"/>
        </xdr:cNvPicPr>
      </xdr:nvPicPr>
      <xdr:blipFill>
        <a:blip r:embed="rId532" r:link="rId2"/>
        <a:stretch>
          <a:fillRect/>
        </a:stretch>
      </xdr:blipFill>
      <xdr:spPr>
        <a:xfrm>
          <a:off x="685800" y="129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9" name="ID_874AE260A6FB413B81FDBCBBE15D19AF" descr="奴隶手斧"/>
        <xdr:cNvPicPr>
          <a:picLocks noChangeAspect="1"/>
        </xdr:cNvPicPr>
      </xdr:nvPicPr>
      <xdr:blipFill>
        <a:blip r:embed="rId533" r:link="rId2"/>
        <a:stretch>
          <a:fillRect/>
        </a:stretch>
      </xdr:blipFill>
      <xdr:spPr>
        <a:xfrm>
          <a:off x="685800" y="146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0" name="ID_2ABFF37A70B64C8B8BD9EE3BBEEE6649" descr="艾莲诺拉"/>
        <xdr:cNvPicPr>
          <a:picLocks noChangeAspect="1"/>
        </xdr:cNvPicPr>
      </xdr:nvPicPr>
      <xdr:blipFill>
        <a:blip r:embed="rId534" r:link="rId2"/>
        <a:stretch>
          <a:fillRect/>
        </a:stretch>
      </xdr:blipFill>
      <xdr:spPr>
        <a:xfrm>
          <a:off x="685800" y="163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1" name="ID_B550DE0E54FF4E3B97D81918C78D5852" descr="大柴刀"/>
        <xdr:cNvPicPr>
          <a:picLocks noChangeAspect="1"/>
        </xdr:cNvPicPr>
      </xdr:nvPicPr>
      <xdr:blipFill>
        <a:blip r:embed="rId535" r:link="rId2"/>
        <a:stretch>
          <a:fillRect/>
        </a:stretch>
      </xdr:blipFill>
      <xdr:spPr>
        <a:xfrm>
          <a:off x="685800" y="146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2" name="ID_83E6D7DF50E948B3A52E619B80479251" descr="黑骑士大斧"/>
        <xdr:cNvPicPr>
          <a:picLocks noChangeAspect="1"/>
        </xdr:cNvPicPr>
      </xdr:nvPicPr>
      <xdr:blipFill>
        <a:blip r:embed="rId536" r:link="rId2"/>
        <a:stretch>
          <a:fillRect/>
        </a:stretch>
      </xdr:blipFill>
      <xdr:spPr>
        <a:xfrm>
          <a:off x="685800" y="129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3" name="ID_45B9A86FDF3844D98822C2336A18A128" descr="恶魔大斧"/>
        <xdr:cNvPicPr>
          <a:picLocks noChangeAspect="1"/>
        </xdr:cNvPicPr>
      </xdr:nvPicPr>
      <xdr:blipFill>
        <a:blip r:embed="rId537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4" name="ID_21230A248BC047E58EEA64328DC3FEC1" descr="猎龙大斧"/>
        <xdr:cNvPicPr>
          <a:picLocks noChangeAspect="1"/>
        </xdr:cNvPicPr>
      </xdr:nvPicPr>
      <xdr:blipFill>
        <a:blip r:embed="rId538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5" name="ID_58A0701954C0408DB201C38444066E9D" descr="巨斧"/>
        <xdr:cNvPicPr>
          <a:picLocks noChangeAspect="1"/>
        </xdr:cNvPicPr>
      </xdr:nvPicPr>
      <xdr:blipFill>
        <a:blip r:embed="rId539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6" name="ID_2A685C098FB146F3A3378808551B2E06" descr="尤姆大柴刀"/>
        <xdr:cNvPicPr>
          <a:picLocks noChangeAspect="1"/>
        </xdr:cNvPicPr>
      </xdr:nvPicPr>
      <xdr:blipFill>
        <a:blip r:embed="rId540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7" name="ID_52E28A0760684D26A8C60367F346AB58" descr="追地者"/>
        <xdr:cNvPicPr>
          <a:picLocks noChangeAspect="1"/>
        </xdr:cNvPicPr>
      </xdr:nvPicPr>
      <xdr:blipFill>
        <a:blip r:embed="rId541" r:link="rId2"/>
        <a:stretch>
          <a:fillRect/>
        </a:stretch>
      </xdr:blipFill>
      <xdr:spPr>
        <a:xfrm>
          <a:off x="685800" y="163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8" name="ID_C7AFE5FABEFB4D41AF72ECD35F22DC18" descr="铁匠铁锤"/>
        <xdr:cNvPicPr>
          <a:picLocks noChangeAspect="1"/>
        </xdr:cNvPicPr>
      </xdr:nvPicPr>
      <xdr:blipFill>
        <a:blip r:embed="rId542" r:link="rId2"/>
        <a:stretch>
          <a:fillRect/>
        </a:stretch>
      </xdr:blipFill>
      <xdr:spPr>
        <a:xfrm>
          <a:off x="685800" y="1619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89" name="ID_F61FACCDE5404434B2CCE3170FBAA84E" descr="战镐"/>
        <xdr:cNvPicPr>
          <a:picLocks noChangeAspect="1"/>
        </xdr:cNvPicPr>
      </xdr:nvPicPr>
      <xdr:blipFill>
        <a:blip r:embed="rId543" r:link="rId2"/>
        <a:stretch>
          <a:fillRect/>
        </a:stretch>
      </xdr:blipFill>
      <xdr:spPr>
        <a:xfrm>
          <a:off x="685800" y="1447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0" name="ID_5C1F2D7DA425423BAD12F003A69AEE4F" descr="海泽儿的十字镐"/>
        <xdr:cNvPicPr>
          <a:picLocks noChangeAspect="1"/>
        </xdr:cNvPicPr>
      </xdr:nvPicPr>
      <xdr:blipFill>
        <a:blip r:embed="rId544" r:link="rId2"/>
        <a:stretch>
          <a:fillRect/>
        </a:stretch>
      </xdr:blipFill>
      <xdr:spPr>
        <a:xfrm>
          <a:off x="685800" y="1143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1" name="ID_A4625E512F694BDBA6472579632F77EE" descr="强化棍棒"/>
        <xdr:cNvPicPr>
          <a:picLocks noChangeAspect="1"/>
        </xdr:cNvPicPr>
      </xdr:nvPicPr>
      <xdr:blipFill>
        <a:blip r:embed="rId545" r:link="rId2"/>
        <a:stretch>
          <a:fillRect/>
        </a:stretch>
      </xdr:blipFill>
      <xdr:spPr>
        <a:xfrm>
          <a:off x="685800" y="971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2" name="ID_3900625F78184DF49F7972935AB4934A" descr="朝星锤"/>
        <xdr:cNvPicPr>
          <a:picLocks noChangeAspect="1"/>
        </xdr:cNvPicPr>
      </xdr:nvPicPr>
      <xdr:blipFill>
        <a:blip r:embed="rId546" r:link="rId2"/>
        <a:stretch>
          <a:fillRect/>
        </a:stretch>
      </xdr:blipFill>
      <xdr:spPr>
        <a:xfrm>
          <a:off x="685800" y="800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3" name="ID_D14ECCA2D6EC415CB2CF59BA73A08EB2" descr="锤矛"/>
        <xdr:cNvPicPr>
          <a:picLocks noChangeAspect="1"/>
        </xdr:cNvPicPr>
      </xdr:nvPicPr>
      <xdr:blipFill>
        <a:blip r:embed="rId547" r:link="rId2"/>
        <a:stretch>
          <a:fillRect/>
        </a:stretch>
      </xdr:blipFill>
      <xdr:spPr>
        <a:xfrm>
          <a:off x="685800" y="62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4" name="ID_B3FFBABB94A34E7CBCDBF9D52E6F59B9" descr="棍棒"/>
        <xdr:cNvPicPr>
          <a:picLocks noChangeAspect="1"/>
        </xdr:cNvPicPr>
      </xdr:nvPicPr>
      <xdr:blipFill>
        <a:blip r:embed="rId548" r:link="rId2"/>
        <a:stretch>
          <a:fillRect/>
        </a:stretch>
      </xdr:blipFill>
      <xdr:spPr>
        <a:xfrm>
          <a:off x="685800" y="457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5" name="ID_D0DD7D91CE304F8A9235BA7AFF136B26" descr="多兰对槌"/>
        <xdr:cNvPicPr>
          <a:picLocks noChangeAspect="1"/>
        </xdr:cNvPicPr>
      </xdr:nvPicPr>
      <xdr:blipFill>
        <a:blip r:embed="rId549" r:link="rId2"/>
        <a:stretch>
          <a:fillRect/>
        </a:stretch>
      </xdr:blipFill>
      <xdr:spPr>
        <a:xfrm>
          <a:off x="685800" y="1790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6" name="ID_349BFEE499B44EFE835623014CFB6607" descr="雷多大锤"/>
        <xdr:cNvPicPr>
          <a:picLocks noChangeAspect="1"/>
        </xdr:cNvPicPr>
      </xdr:nvPicPr>
      <xdr:blipFill>
        <a:blip r:embed="rId550" r:link="rId2"/>
        <a:stretch>
          <a:fillRect/>
        </a:stretch>
      </xdr:blipFill>
      <xdr:spPr>
        <a:xfrm>
          <a:off x="685800" y="2819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7" name="ID_769FD14C7EA2468E94DEF5421BF53AC8" descr="地鸣岩槌"/>
        <xdr:cNvPicPr>
          <a:picLocks noChangeAspect="1"/>
        </xdr:cNvPicPr>
      </xdr:nvPicPr>
      <xdr:blipFill>
        <a:blip r:embed="rId551" r:link="rId2"/>
        <a:stretch>
          <a:fillRect/>
        </a:stretch>
      </xdr:blipFill>
      <xdr:spPr>
        <a:xfrm>
          <a:off x="685800" y="2647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8" name="ID_356562511FA147DAAC23B0EF7DFFB87B" descr="尖刺锤矛"/>
        <xdr:cNvPicPr>
          <a:picLocks noChangeAspect="1"/>
        </xdr:cNvPicPr>
      </xdr:nvPicPr>
      <xdr:blipFill>
        <a:blip r:embed="rId552" r:link="rId2"/>
        <a:stretch>
          <a:fillRect/>
        </a:stretch>
      </xdr:blipFill>
      <xdr:spPr>
        <a:xfrm>
          <a:off x="685800" y="2476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99" name="ID_035BEA5918184668B12C14461B8113F8" descr="摩恩大锤"/>
        <xdr:cNvPicPr>
          <a:picLocks noChangeAspect="1"/>
        </xdr:cNvPicPr>
      </xdr:nvPicPr>
      <xdr:blipFill>
        <a:blip r:embed="rId553" r:link="rId2"/>
        <a:stretch>
          <a:fillRect/>
        </a:stretch>
      </xdr:blipFill>
      <xdr:spPr>
        <a:xfrm>
          <a:off x="685800" y="2305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0" name="ID_02CFB765224845ACB1808A093E188D8F" descr="斯摩的锤子"/>
        <xdr:cNvPicPr>
          <a:picLocks noChangeAspect="1"/>
        </xdr:cNvPicPr>
      </xdr:nvPicPr>
      <xdr:blipFill>
        <a:blip r:embed="rId554" r:link="rId2"/>
        <a:stretch>
          <a:fillRect/>
        </a:stretch>
      </xdr:blipFill>
      <xdr:spPr>
        <a:xfrm>
          <a:off x="685800" y="2133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1" name="ID_C6C4004A52974160AB072B36F14712C9" descr="大龙牙"/>
        <xdr:cNvPicPr>
          <a:picLocks noChangeAspect="1"/>
        </xdr:cNvPicPr>
      </xdr:nvPicPr>
      <xdr:blipFill>
        <a:blip r:embed="rId555" r:link="rId2"/>
        <a:stretch>
          <a:fillRect/>
        </a:stretch>
      </xdr:blipFill>
      <xdr:spPr>
        <a:xfrm>
          <a:off x="685800" y="1962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2" name="ID_F372C0F8A13D41D1A9915090A0748A5B" descr="石像鬼灯火槌"/>
        <xdr:cNvPicPr>
          <a:picLocks noChangeAspect="1"/>
        </xdr:cNvPicPr>
      </xdr:nvPicPr>
      <xdr:blipFill>
        <a:blip r:embed="rId556" r:link="rId2"/>
        <a:stretch>
          <a:fillRect/>
        </a:stretch>
      </xdr:blipFill>
      <xdr:spPr>
        <a:xfrm>
          <a:off x="685800" y="1143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3" name="ID_B3B19AC0952A4AD680EDECA1C72DBE2D" descr="大型棍棒"/>
        <xdr:cNvPicPr>
          <a:picLocks noChangeAspect="1"/>
        </xdr:cNvPicPr>
      </xdr:nvPicPr>
      <xdr:blipFill>
        <a:blip r:embed="rId557" r:link="rId2"/>
        <a:stretch>
          <a:fillRect/>
        </a:stretch>
      </xdr:blipFill>
      <xdr:spPr>
        <a:xfrm>
          <a:off x="685800" y="457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4" name="ID_10BF0F15F2F84FA399734D61F8E4D727" descr="巨型棍棒"/>
        <xdr:cNvPicPr>
          <a:picLocks noChangeAspect="1"/>
        </xdr:cNvPicPr>
      </xdr:nvPicPr>
      <xdr:blipFill>
        <a:blip r:embed="rId558" r:link="rId2"/>
        <a:stretch>
          <a:fillRect/>
        </a:stretch>
      </xdr:blipFill>
      <xdr:spPr>
        <a:xfrm>
          <a:off x="685800" y="62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5" name="ID_5D75794CA53D452FBA1E743513D8000D" descr="巨型锤矛"/>
        <xdr:cNvPicPr>
          <a:picLocks noChangeAspect="1"/>
        </xdr:cNvPicPr>
      </xdr:nvPicPr>
      <xdr:blipFill>
        <a:blip r:embed="rId559" r:link="rId2"/>
        <a:stretch>
          <a:fillRect/>
        </a:stretch>
      </xdr:blipFill>
      <xdr:spPr>
        <a:xfrm>
          <a:off x="685800" y="800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6" name="ID_88B013361A3A490E9D1CBB8A4DD2B684" descr="大木槌"/>
        <xdr:cNvPicPr>
          <a:picLocks noChangeAspect="1"/>
        </xdr:cNvPicPr>
      </xdr:nvPicPr>
      <xdr:blipFill>
        <a:blip r:embed="rId560" r:link="rId2"/>
        <a:stretch>
          <a:fillRect/>
        </a:stretch>
      </xdr:blipFill>
      <xdr:spPr>
        <a:xfrm>
          <a:off x="685800" y="971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7" name="ID_6A2A40882DA64EDDA6998158DAEE3EA3" descr="玻尔多大锤"/>
        <xdr:cNvPicPr>
          <a:picLocks noChangeAspect="1"/>
        </xdr:cNvPicPr>
      </xdr:nvPicPr>
      <xdr:blipFill>
        <a:blip r:embed="rId561" r:link="rId2"/>
        <a:stretch>
          <a:fillRect/>
        </a:stretch>
      </xdr:blipFill>
      <xdr:spPr>
        <a:xfrm>
          <a:off x="685800" y="1447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8" name="ID_D77ED12307104C7FB9DC932468815A5F" descr="老王大槌"/>
        <xdr:cNvPicPr>
          <a:picLocks noChangeAspect="1"/>
        </xdr:cNvPicPr>
      </xdr:nvPicPr>
      <xdr:blipFill>
        <a:blip r:embed="rId562" r:link="rId2"/>
        <a:stretch>
          <a:fillRect/>
        </a:stretch>
      </xdr:blipFill>
      <xdr:spPr>
        <a:xfrm>
          <a:off x="685800" y="1619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09" name="ID_50D8F317BBE046E49731BD9BA88E5C58" descr="十字镐"/>
        <xdr:cNvPicPr>
          <a:picLocks noChangeAspect="1"/>
        </xdr:cNvPicPr>
      </xdr:nvPicPr>
      <xdr:blipFill>
        <a:blip r:embed="rId563" r:link="rId2"/>
        <a:stretch>
          <a:fillRect/>
        </a:stretch>
      </xdr:blipFill>
      <xdr:spPr>
        <a:xfrm>
          <a:off x="685800" y="1790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0" name="ID_F53714ED6D63494690C04ECE694F6572" descr="幽魂投枪"/>
        <xdr:cNvPicPr>
          <a:picLocks noChangeAspect="1"/>
        </xdr:cNvPicPr>
      </xdr:nvPicPr>
      <xdr:blipFill>
        <a:blip r:embed="rId564" r:link="rId2"/>
        <a:stretch>
          <a:fillRect/>
        </a:stretch>
      </xdr:blipFill>
      <xdr:spPr>
        <a:xfrm>
          <a:off x="685800" y="3619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1" name="ID_6FF4DE3913E04F838912AC90B194A24E" descr="多兰对枪"/>
        <xdr:cNvPicPr>
          <a:picLocks noChangeAspect="1"/>
        </xdr:cNvPicPr>
      </xdr:nvPicPr>
      <xdr:blipFill>
        <a:blip r:embed="rId565" r:link="rId2"/>
        <a:stretch>
          <a:fillRect/>
        </a:stretch>
      </xdr:blipFill>
      <xdr:spPr>
        <a:xfrm>
          <a:off x="685800" y="3448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2" name="ID_412CD956101242CE9649DD8D771FE6AA" descr="金枝杖枪"/>
        <xdr:cNvPicPr>
          <a:picLocks noChangeAspect="1"/>
        </xdr:cNvPicPr>
      </xdr:nvPicPr>
      <xdr:blipFill>
        <a:blip r:embed="rId566" r:link="rId2"/>
        <a:stretch>
          <a:fillRect/>
        </a:stretch>
      </xdr:blipFill>
      <xdr:spPr>
        <a:xfrm>
          <a:off x="685800" y="3276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3" name="ID_1E573C6D050F4521B6C5262D1F388703" descr="猎龙枪"/>
        <xdr:cNvPicPr>
          <a:picLocks noChangeAspect="1"/>
        </xdr:cNvPicPr>
      </xdr:nvPicPr>
      <xdr:blipFill>
        <a:blip r:embed="rId567" r:link="rId2"/>
        <a:stretch>
          <a:fillRect/>
        </a:stretch>
      </xdr:blipFill>
      <xdr:spPr>
        <a:xfrm>
          <a:off x="685800" y="3105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4" name="ID_280D5FD4CBF74C788B47CD9A82EF84F9" descr="四齿钉耙（删减内容）"/>
        <xdr:cNvPicPr>
          <a:picLocks noChangeAspect="1"/>
        </xdr:cNvPicPr>
      </xdr:nvPicPr>
      <xdr:blipFill>
        <a:blip r:embed="rId568" r:link="rId2"/>
        <a:stretch>
          <a:fillRect/>
        </a:stretch>
      </xdr:blipFill>
      <xdr:spPr>
        <a:xfrm>
          <a:off x="685800" y="2647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5" name="ID_F767CA843DC54F998B8D17CFC747E28E" descr="幽儿希卡枪"/>
        <xdr:cNvPicPr>
          <a:picLocks noChangeAspect="1"/>
        </xdr:cNvPicPr>
      </xdr:nvPicPr>
      <xdr:blipFill>
        <a:blip r:embed="rId569" r:link="rId2"/>
        <a:stretch>
          <a:fillRect/>
        </a:stretch>
      </xdr:blipFill>
      <xdr:spPr>
        <a:xfrm>
          <a:off x="685800" y="2476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6" name="ID_6E438CBF6FE14E83B0838BB28EFBF745" descr="圣者双叉枪"/>
        <xdr:cNvPicPr>
          <a:picLocks noChangeAspect="1"/>
        </xdr:cNvPicPr>
      </xdr:nvPicPr>
      <xdr:blipFill>
        <a:blip r:embed="rId570" r:link="rId2"/>
        <a:stretch>
          <a:fillRect/>
        </a:stretch>
      </xdr:blipFill>
      <xdr:spPr>
        <a:xfrm>
          <a:off x="685800" y="2305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7" name="ID_E84B8DDB53F04C5E9AEC6705DA861AE0" descr="阿尔斯特枪"/>
        <xdr:cNvPicPr>
          <a:picLocks noChangeAspect="1"/>
        </xdr:cNvPicPr>
      </xdr:nvPicPr>
      <xdr:blipFill>
        <a:blip r:embed="rId571" r:link="rId2"/>
        <a:stretch>
          <a:fillRect/>
        </a:stretch>
      </xdr:blipFill>
      <xdr:spPr>
        <a:xfrm>
          <a:off x="685800" y="2133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8" name="ID_047FF679D0184B6A871CCB160529C0B6" descr="猎龙剑枪"/>
        <xdr:cNvPicPr>
          <a:picLocks noChangeAspect="1"/>
        </xdr:cNvPicPr>
      </xdr:nvPicPr>
      <xdr:blipFill>
        <a:blip r:embed="rId572" r:link="rId2"/>
        <a:stretch>
          <a:fillRect/>
        </a:stretch>
      </xdr:blipFill>
      <xdr:spPr>
        <a:xfrm>
          <a:off x="685800" y="1962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19" name="ID_6C1257776E0F417494ADBC34A0AFA373" descr="石像鬼灯火枪"/>
        <xdr:cNvPicPr>
          <a:picLocks noChangeAspect="1"/>
        </xdr:cNvPicPr>
      </xdr:nvPicPr>
      <xdr:blipFill>
        <a:blip r:embed="rId573" r:link="rId2"/>
        <a:stretch>
          <a:fillRect/>
        </a:stretch>
      </xdr:blipFill>
      <xdr:spPr>
        <a:xfrm>
          <a:off x="685800" y="1143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0" name="ID_A9F21460FCA44B2FA6CFA66C1B6C5B66" descr="枪"/>
        <xdr:cNvPicPr>
          <a:picLocks noChangeAspect="1"/>
        </xdr:cNvPicPr>
      </xdr:nvPicPr>
      <xdr:blipFill>
        <a:blip r:embed="rId574" r:link="rId2"/>
        <a:stretch>
          <a:fillRect/>
        </a:stretch>
      </xdr:blipFill>
      <xdr:spPr>
        <a:xfrm>
          <a:off x="685800" y="457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1" name="ID_79707411F4A34CC1A668B7E7722A4611" descr="雁翅枪"/>
        <xdr:cNvPicPr>
          <a:picLocks noChangeAspect="1"/>
        </xdr:cNvPicPr>
      </xdr:nvPicPr>
      <xdr:blipFill>
        <a:blip r:embed="rId575" r:link="rId2"/>
        <a:stretch>
          <a:fillRect/>
        </a:stretch>
      </xdr:blipFill>
      <xdr:spPr>
        <a:xfrm>
          <a:off x="685800" y="62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2" name="ID_7F5FAE2DA49E4C1191C5D9D9CA365711" descr="游击枪"/>
        <xdr:cNvPicPr>
          <a:picLocks noChangeAspect="1"/>
        </xdr:cNvPicPr>
      </xdr:nvPicPr>
      <xdr:blipFill>
        <a:blip r:embed="rId576" r:link="rId2"/>
        <a:stretch>
          <a:fillRect/>
        </a:stretch>
      </xdr:blipFill>
      <xdr:spPr>
        <a:xfrm>
          <a:off x="685800" y="800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3" name="ID_5DF06A304EC44ED880F5BC1016107504" descr="四齿钉耙"/>
        <xdr:cNvPicPr>
          <a:picLocks noChangeAspect="1"/>
        </xdr:cNvPicPr>
      </xdr:nvPicPr>
      <xdr:blipFill>
        <a:blip r:embed="rId577" r:link="rId2"/>
        <a:stretch>
          <a:fillRect/>
        </a:stretch>
      </xdr:blipFill>
      <xdr:spPr>
        <a:xfrm>
          <a:off x="685800" y="971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4" name="ID_03BBC112518F4C2F8B2B8A93A78FF9CE" descr="咕鲁腐败枪"/>
        <xdr:cNvPicPr>
          <a:picLocks noChangeAspect="1"/>
        </xdr:cNvPicPr>
      </xdr:nvPicPr>
      <xdr:blipFill>
        <a:blip r:embed="rId578" r:link="rId2"/>
        <a:stretch>
          <a:fillRect/>
        </a:stretch>
      </xdr:blipFill>
      <xdr:spPr>
        <a:xfrm>
          <a:off x="685800" y="1447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5" name="ID_9CA8731810AD40B8B8316A92165A41CF" descr="尾骨枪"/>
        <xdr:cNvPicPr>
          <a:picLocks noChangeAspect="1"/>
        </xdr:cNvPicPr>
      </xdr:nvPicPr>
      <xdr:blipFill>
        <a:blip r:embed="rId579" r:link="rId2"/>
        <a:stretch>
          <a:fillRect/>
        </a:stretch>
      </xdr:blipFill>
      <xdr:spPr>
        <a:xfrm>
          <a:off x="685800" y="1619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6" name="ID_ED448514E6CF4C2FBFA5DABC4660A726" descr="烙铁"/>
        <xdr:cNvPicPr>
          <a:picLocks noChangeAspect="1"/>
        </xdr:cNvPicPr>
      </xdr:nvPicPr>
      <xdr:blipFill>
        <a:blip r:embed="rId580" r:link="rId2"/>
        <a:stretch>
          <a:fillRect/>
        </a:stretch>
      </xdr:blipFill>
      <xdr:spPr>
        <a:xfrm>
          <a:off x="685800" y="1790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7" name="ID_6307808768CA42099FA19C64F6B65821" descr="洛斯里克军旗"/>
        <xdr:cNvPicPr>
          <a:picLocks noChangeAspect="1"/>
        </xdr:cNvPicPr>
      </xdr:nvPicPr>
      <xdr:blipFill>
        <a:blip r:embed="rId581" r:link="rId2"/>
        <a:stretch>
          <a:fillRect/>
        </a:stretch>
      </xdr:blipFill>
      <xdr:spPr>
        <a:xfrm>
          <a:off x="685800" y="1276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8" name="ID_F74AC8E36CF249BA8A7B6CBA83CA43EE" descr="矛"/>
        <xdr:cNvPicPr>
          <a:picLocks noChangeAspect="1"/>
        </xdr:cNvPicPr>
      </xdr:nvPicPr>
      <xdr:blipFill>
        <a:blip r:embed="rId582" r:link="rId2"/>
        <a:stretch>
          <a:fillRect/>
        </a:stretch>
      </xdr:blipFill>
      <xdr:spPr>
        <a:xfrm>
          <a:off x="685800" y="933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29" name="ID_85EAB1D7991D43F19CD75F445E60BD96" descr="洛斯里克骑士长枪"/>
        <xdr:cNvPicPr>
          <a:picLocks noChangeAspect="1"/>
        </xdr:cNvPicPr>
      </xdr:nvPicPr>
      <xdr:blipFill>
        <a:blip r:embed="rId583" r:link="rId2"/>
        <a:stretch>
          <a:fillRect/>
        </a:stretch>
      </xdr:blipFill>
      <xdr:spPr>
        <a:xfrm>
          <a:off x="685800" y="62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0" name="ID_F3029C2A1DBA4EFDBD8474A00897A270" descr="巨骑枪"/>
        <xdr:cNvPicPr>
          <a:picLocks noChangeAspect="1"/>
        </xdr:cNvPicPr>
      </xdr:nvPicPr>
      <xdr:blipFill>
        <a:blip r:embed="rId584" r:link="rId2"/>
        <a:stretch>
          <a:fillRect/>
        </a:stretch>
      </xdr:blipFill>
      <xdr:spPr>
        <a:xfrm>
          <a:off x="685800" y="457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1" name="ID_AFB75E8EC7D848528427CA6EB4927390" descr="环印骑士枪"/>
        <xdr:cNvPicPr>
          <a:picLocks noChangeAspect="1"/>
        </xdr:cNvPicPr>
      </xdr:nvPicPr>
      <xdr:blipFill>
        <a:blip r:embed="rId585" r:link="rId2"/>
        <a:stretch>
          <a:fillRect/>
        </a:stretch>
      </xdr:blipFill>
      <xdr:spPr>
        <a:xfrm>
          <a:off x="685800" y="1104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2" name="ID_E2B7C3AF726E4DF2BB9A7C0ACE8196A9" descr="半叶大刀"/>
        <xdr:cNvPicPr>
          <a:picLocks noChangeAspect="1"/>
        </xdr:cNvPicPr>
      </xdr:nvPicPr>
      <xdr:blipFill>
        <a:blip r:embed="rId586" r:link="rId2"/>
        <a:stretch>
          <a:fillRect/>
        </a:stretch>
      </xdr:blipFill>
      <xdr:spPr>
        <a:xfrm>
          <a:off x="685800" y="2762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3" name="ID_2662591F737646A8A36311A565AB4CF4" descr="狂王磔枪"/>
        <xdr:cNvPicPr>
          <a:picLocks noChangeAspect="1"/>
        </xdr:cNvPicPr>
      </xdr:nvPicPr>
      <xdr:blipFill>
        <a:blip r:embed="rId587" r:link="rId2"/>
        <a:stretch>
          <a:fillRect/>
        </a:stretch>
      </xdr:blipFill>
      <xdr:spPr>
        <a:xfrm>
          <a:off x="685800" y="2590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4" name="ID_8237B03E1871416F9A2D47922C03C7A5" descr="火刑光芒"/>
        <xdr:cNvPicPr>
          <a:picLocks noChangeAspect="1"/>
        </xdr:cNvPicPr>
      </xdr:nvPicPr>
      <xdr:blipFill>
        <a:blip r:embed="rId588" r:link="rId2"/>
        <a:stretch>
          <a:fillRect/>
        </a:stretch>
      </xdr:blipFill>
      <xdr:spPr>
        <a:xfrm>
          <a:off x="685800" y="2419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5" name="ID_769881E68B404296889CDF4B3C0F3344" descr="戟"/>
        <xdr:cNvPicPr>
          <a:picLocks noChangeAspect="1"/>
        </xdr:cNvPicPr>
      </xdr:nvPicPr>
      <xdr:blipFill>
        <a:blip r:embed="rId589" r:link="rId2"/>
        <a:stretch>
          <a:fillRect/>
        </a:stretch>
      </xdr:blipFill>
      <xdr:spPr>
        <a:xfrm>
          <a:off x="685800" y="1428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6" name="ID_070DCCF4FDDC438F9E6CCDF9CA0A2521" descr="弦月斧"/>
        <xdr:cNvPicPr>
          <a:picLocks noChangeAspect="1"/>
        </xdr:cNvPicPr>
      </xdr:nvPicPr>
      <xdr:blipFill>
        <a:blip r:embed="rId590" r:link="rId2"/>
        <a:stretch>
          <a:fillRect/>
        </a:stretch>
      </xdr:blipFill>
      <xdr:spPr>
        <a:xfrm>
          <a:off x="685800" y="914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7" name="ID_CBFB4217FDC54A818844AFCC0914A043" descr="鹤嘴戟"/>
        <xdr:cNvPicPr>
          <a:picLocks noChangeAspect="1"/>
        </xdr:cNvPicPr>
      </xdr:nvPicPr>
      <xdr:blipFill>
        <a:blip r:embed="rId591" r:link="rId2"/>
        <a:stretch>
          <a:fillRect/>
        </a:stretch>
      </xdr:blipFill>
      <xdr:spPr>
        <a:xfrm>
          <a:off x="685800" y="1085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8" name="ID_86D064A0CC4A47F18C0CC82D75CE2650" descr="剑刃戟"/>
        <xdr:cNvPicPr>
          <a:picLocks noChangeAspect="1"/>
        </xdr:cNvPicPr>
      </xdr:nvPicPr>
      <xdr:blipFill>
        <a:blip r:embed="rId592" r:link="rId2"/>
        <a:stretch>
          <a:fillRect/>
        </a:stretch>
      </xdr:blipFill>
      <xdr:spPr>
        <a:xfrm>
          <a:off x="685800" y="1257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39" name="ID_3A0CD81CCEB04E68A6FCAE73C22872DB" descr="羽翼骑士戟"/>
        <xdr:cNvPicPr>
          <a:picLocks noChangeAspect="1"/>
        </xdr:cNvPicPr>
      </xdr:nvPicPr>
      <xdr:blipFill>
        <a:blip r:embed="rId593" r:link="rId2"/>
        <a:stretch>
          <a:fillRect/>
        </a:stretch>
      </xdr:blipFill>
      <xdr:spPr>
        <a:xfrm>
          <a:off x="685800" y="1600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0" name="ID_68226D211D034D47BE44B04F27A43430" descr="古达的戟"/>
        <xdr:cNvPicPr>
          <a:picLocks noChangeAspect="1"/>
        </xdr:cNvPicPr>
      </xdr:nvPicPr>
      <xdr:blipFill>
        <a:blip r:embed="rId594" r:link="rId2"/>
        <a:stretch>
          <a:fillRect/>
        </a:stretch>
      </xdr:blipFill>
      <xdr:spPr>
        <a:xfrm>
          <a:off x="685800" y="1771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1" name="ID_AD05C148AE3243F299C754715DF965ED" descr="红柄戟"/>
        <xdr:cNvPicPr>
          <a:picLocks noChangeAspect="1"/>
        </xdr:cNvPicPr>
      </xdr:nvPicPr>
      <xdr:blipFill>
        <a:blip r:embed="rId595" r:link="rId2"/>
        <a:stretch>
          <a:fillRect/>
        </a:stretch>
      </xdr:blipFill>
      <xdr:spPr>
        <a:xfrm>
          <a:off x="685800" y="1943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2" name="ID_229BE59E152948AF8F9BC962A889BFFF" descr="黑骑士剑刃戟"/>
        <xdr:cNvPicPr>
          <a:picLocks noChangeAspect="1"/>
        </xdr:cNvPicPr>
      </xdr:nvPicPr>
      <xdr:blipFill>
        <a:blip r:embed="rId596" r:link="rId2"/>
        <a:stretch>
          <a:fillRect/>
        </a:stretch>
      </xdr:blipFill>
      <xdr:spPr>
        <a:xfrm>
          <a:off x="685800" y="2114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3" name="ID_A25F146C1E1349F692C053F102636DDE" descr="芙莉德大镰刀"/>
        <xdr:cNvPicPr>
          <a:picLocks noChangeAspect="1"/>
        </xdr:cNvPicPr>
      </xdr:nvPicPr>
      <xdr:blipFill>
        <a:blip r:embed="rId597" r:link="rId2"/>
        <a:stretch>
          <a:fillRect/>
        </a:stretch>
      </xdr:blipFill>
      <xdr:spPr>
        <a:xfrm>
          <a:off x="685800" y="2019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4" name="ID_E2FA0A3562AD424095EFE47F2CDA6DA9" descr="教宗骑士大镰刀"/>
        <xdr:cNvPicPr>
          <a:picLocks noChangeAspect="1"/>
        </xdr:cNvPicPr>
      </xdr:nvPicPr>
      <xdr:blipFill>
        <a:blip r:embed="rId598" r:link="rId2"/>
        <a:stretch>
          <a:fillRect/>
        </a:stretch>
      </xdr:blipFill>
      <xdr:spPr>
        <a:xfrm>
          <a:off x="685800" y="1543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5" name="ID_2A622D2DC1FE448FB9BCD9063CF704C9" descr="大镰刀"/>
        <xdr:cNvPicPr>
          <a:picLocks noChangeAspect="1"/>
        </xdr:cNvPicPr>
      </xdr:nvPicPr>
      <xdr:blipFill>
        <a:blip r:embed="rId599" r:link="rId2"/>
        <a:stretch>
          <a:fillRect/>
        </a:stretch>
      </xdr:blipFill>
      <xdr:spPr>
        <a:xfrm>
          <a:off x="685800" y="1371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6" name="ID_E1EDB54D2B7A4C93AD03EA3D1FB139AB" descr="鸦人大镰刀"/>
        <xdr:cNvPicPr>
          <a:picLocks noChangeAspect="1"/>
        </xdr:cNvPicPr>
      </xdr:nvPicPr>
      <xdr:blipFill>
        <a:blip r:embed="rId600" r:link="rId2"/>
        <a:stretch>
          <a:fillRect/>
        </a:stretch>
      </xdr:blipFill>
      <xdr:spPr>
        <a:xfrm>
          <a:off x="685800" y="1847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7" name="ID_62D69C503BE64FB19C927AB5BADE8D5E" descr="傀儡钩爪"/>
        <xdr:cNvPicPr>
          <a:picLocks noChangeAspect="1"/>
        </xdr:cNvPicPr>
      </xdr:nvPicPr>
      <xdr:blipFill>
        <a:blip r:embed="rId601" r:link="rId2"/>
        <a:stretch>
          <a:fillRect/>
        </a:stretch>
      </xdr:blipFill>
      <xdr:spPr>
        <a:xfrm>
          <a:off x="685800" y="2000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8" name="ID_96EEC0BA16CB42A99A384F8D418BE141" descr="钩爪"/>
        <xdr:cNvPicPr>
          <a:picLocks noChangeAspect="1"/>
        </xdr:cNvPicPr>
      </xdr:nvPicPr>
      <xdr:blipFill>
        <a:blip r:embed="rId602" r:link="rId2"/>
        <a:stretch>
          <a:fillRect/>
        </a:stretch>
      </xdr:blipFill>
      <xdr:spPr>
        <a:xfrm>
          <a:off x="685800" y="1828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9" name="ID_13DF7D879577481E90C755057555930A" descr="鸦爪"/>
        <xdr:cNvPicPr>
          <a:picLocks noChangeAspect="1"/>
        </xdr:cNvPicPr>
      </xdr:nvPicPr>
      <xdr:blipFill>
        <a:blip r:embed="rId603" r:link="rId2"/>
        <a:stretch>
          <a:fillRect/>
        </a:stretch>
      </xdr:blipFill>
      <xdr:spPr>
        <a:xfrm>
          <a:off x="685800" y="2171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0" name="ID_B105F465F77A453AA3445E5186E63722" descr="恶魔指虎"/>
        <xdr:cNvPicPr>
          <a:picLocks noChangeAspect="1"/>
        </xdr:cNvPicPr>
      </xdr:nvPicPr>
      <xdr:blipFill>
        <a:blip r:embed="rId604" r:link="rId2"/>
        <a:stretch>
          <a:fillRect/>
        </a:stretch>
      </xdr:blipFill>
      <xdr:spPr>
        <a:xfrm>
          <a:off x="685800" y="245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1" name="ID_EE8B9B01C6044791A904AFC35DA71438" descr="护手带"/>
        <xdr:cNvPicPr>
          <a:picLocks noChangeAspect="1"/>
        </xdr:cNvPicPr>
      </xdr:nvPicPr>
      <xdr:blipFill>
        <a:blip r:embed="rId605" r:link="rId2"/>
        <a:stretch>
          <a:fillRect/>
        </a:stretch>
      </xdr:blipFill>
      <xdr:spPr>
        <a:xfrm>
          <a:off x="685800" y="2286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2" name="ID_B30F0D05D45947728BD1D2442D683B22" descr="黑暗之手"/>
        <xdr:cNvPicPr>
          <a:picLocks noChangeAspect="1"/>
        </xdr:cNvPicPr>
      </xdr:nvPicPr>
      <xdr:blipFill>
        <a:blip r:embed="rId606" r:link="rId2"/>
        <a:stretch>
          <a:fillRect/>
        </a:stretch>
      </xdr:blipFill>
      <xdr:spPr>
        <a:xfrm>
          <a:off x="685800" y="2628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3" name="ID_C99176A57427414DB4C51D75CCE2E91A" descr="斑斓鞭"/>
        <xdr:cNvPicPr>
          <a:picLocks noChangeAspect="1"/>
        </xdr:cNvPicPr>
      </xdr:nvPicPr>
      <xdr:blipFill>
        <a:blip r:embed="rId607" r:link="rId2"/>
        <a:stretch>
          <a:fillRect/>
        </a:stretch>
      </xdr:blipFill>
      <xdr:spPr>
        <a:xfrm>
          <a:off x="685800" y="971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4" name="ID_7E4ADAE1565F41899C9055B6FD9DB86E" descr="荆棘软鞭"/>
        <xdr:cNvPicPr>
          <a:picLocks noChangeAspect="1"/>
        </xdr:cNvPicPr>
      </xdr:nvPicPr>
      <xdr:blipFill>
        <a:blip r:embed="rId608" r:link="rId2"/>
        <a:stretch>
          <a:fillRect/>
        </a:stretch>
      </xdr:blipFill>
      <xdr:spPr>
        <a:xfrm>
          <a:off x="685800" y="800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5" name="ID_52833E4970EC40D582E9AADE12855FD9" descr="魔女黑发"/>
        <xdr:cNvPicPr>
          <a:picLocks noChangeAspect="1"/>
        </xdr:cNvPicPr>
      </xdr:nvPicPr>
      <xdr:blipFill>
        <a:blip r:embed="rId609" r:link="rId2"/>
        <a:stretch>
          <a:fillRect/>
        </a:stretch>
      </xdr:blipFill>
      <xdr:spPr>
        <a:xfrm>
          <a:off x="685800" y="62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6" name="ID_EFBA8B239E334772BDBF3FA702BB49CD" descr="软鞭"/>
        <xdr:cNvPicPr>
          <a:picLocks noChangeAspect="1"/>
        </xdr:cNvPicPr>
      </xdr:nvPicPr>
      <xdr:blipFill>
        <a:blip r:embed="rId610" r:link="rId2"/>
        <a:stretch>
          <a:fillRect/>
        </a:stretch>
      </xdr:blipFill>
      <xdr:spPr>
        <a:xfrm>
          <a:off x="685800" y="457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7" name="ID_55F7D20384804DE8B37187C45D83513F" descr="艾雷德尔蔷薇"/>
        <xdr:cNvPicPr>
          <a:picLocks noChangeAspect="1"/>
        </xdr:cNvPicPr>
      </xdr:nvPicPr>
      <xdr:blipFill>
        <a:blip r:embed="rId611" r:link="rId2"/>
        <a:stretch>
          <a:fillRect/>
        </a:stretch>
      </xdr:blipFill>
      <xdr:spPr>
        <a:xfrm>
          <a:off x="685800" y="1143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8" name="ID_CDDDECFDF503414EAC88743BBDD4DAD8" descr="说客右臂"/>
        <xdr:cNvPicPr>
          <a:picLocks noChangeAspect="1"/>
        </xdr:cNvPicPr>
      </xdr:nvPicPr>
      <xdr:blipFill>
        <a:blip r:embed="rId612" r:link="rId2"/>
        <a:stretch>
          <a:fillRect/>
        </a:stretch>
      </xdr:blipFill>
      <xdr:spPr>
        <a:xfrm>
          <a:off x="685800" y="2743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59" name="ID_AB87F19139C9402AB82FA40185EF12E5" descr="濡湿长柄杖"/>
        <xdr:cNvPicPr>
          <a:picLocks noChangeAspect="1"/>
        </xdr:cNvPicPr>
      </xdr:nvPicPr>
      <xdr:blipFill>
        <a:blip r:embed="rId613" r:link="rId2"/>
        <a:stretch>
          <a:fillRect/>
        </a:stretch>
      </xdr:blipFill>
      <xdr:spPr>
        <a:xfrm>
          <a:off x="685800" y="2438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0" name="ID_6EE81CFEFF7049BBA034024532B5D466" descr="伊札里斯杖"/>
        <xdr:cNvPicPr>
          <a:picLocks noChangeAspect="1"/>
        </xdr:cNvPicPr>
      </xdr:nvPicPr>
      <xdr:blipFill>
        <a:blip r:embed="rId614" r:link="rId2"/>
        <a:stretch>
          <a:fillRect/>
        </a:stretch>
      </xdr:blipFill>
      <xdr:spPr>
        <a:xfrm>
          <a:off x="685800" y="2266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1" name="ID_CC73FEAE07804A7A9880AB9CD6E05A41" descr="妖树枝条"/>
        <xdr:cNvPicPr>
          <a:picLocks noChangeAspect="1"/>
        </xdr:cNvPicPr>
      </xdr:nvPicPr>
      <xdr:blipFill>
        <a:blip r:embed="rId615" r:link="rId2"/>
        <a:stretch>
          <a:fillRect/>
        </a:stretch>
      </xdr:blipFill>
      <xdr:spPr>
        <a:xfrm>
          <a:off x="685800" y="2095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2" name="ID_8ECA8AE926664DCA8173639788F04D9B" descr="大主教的大杖"/>
        <xdr:cNvPicPr>
          <a:picLocks noChangeAspect="1"/>
        </xdr:cNvPicPr>
      </xdr:nvPicPr>
      <xdr:blipFill>
        <a:blip r:embed="rId616" r:link="rId2"/>
        <a:stretch>
          <a:fillRect/>
        </a:stretch>
      </xdr:blipFill>
      <xdr:spPr>
        <a:xfrm>
          <a:off x="685800" y="1143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3" name="ID_E5C4E6AB8D014051A873921D3923B7EE" descr="魔法师杖"/>
        <xdr:cNvPicPr>
          <a:picLocks noChangeAspect="1"/>
        </xdr:cNvPicPr>
      </xdr:nvPicPr>
      <xdr:blipFill>
        <a:blip r:embed="rId617" r:link="rId2"/>
        <a:stretch>
          <a:fillRect/>
        </a:stretch>
      </xdr:blipFill>
      <xdr:spPr>
        <a:xfrm>
          <a:off x="685800" y="457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4" name="ID_4C73857D2DBD4D24B1D7165FA12F466B" descr="说书人杖"/>
        <xdr:cNvPicPr>
          <a:picLocks noChangeAspect="1"/>
        </xdr:cNvPicPr>
      </xdr:nvPicPr>
      <xdr:blipFill>
        <a:blip r:embed="rId618" r:link="rId2"/>
        <a:stretch>
          <a:fillRect/>
        </a:stretch>
      </xdr:blipFill>
      <xdr:spPr>
        <a:xfrm>
          <a:off x="685800" y="62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5" name="ID_18F022E4704E4C5285FBA62032B606FB" descr="托钵杖"/>
        <xdr:cNvPicPr>
          <a:picLocks noChangeAspect="1"/>
        </xdr:cNvPicPr>
      </xdr:nvPicPr>
      <xdr:blipFill>
        <a:blip r:embed="rId619" r:link="rId2"/>
        <a:stretch>
          <a:fillRect/>
        </a:stretch>
      </xdr:blipFill>
      <xdr:spPr>
        <a:xfrm>
          <a:off x="685800" y="800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6" name="ID_E9197694319542EB8DF9B0724FCEBA0A" descr="蛆人杖"/>
        <xdr:cNvPicPr>
          <a:picLocks noChangeAspect="1"/>
        </xdr:cNvPicPr>
      </xdr:nvPicPr>
      <xdr:blipFill>
        <a:blip r:embed="rId620" r:link="rId2"/>
        <a:stretch>
          <a:fillRect/>
        </a:stretch>
      </xdr:blipFill>
      <xdr:spPr>
        <a:xfrm>
          <a:off x="685800" y="971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7" name="ID_6C88181262EF490BA251CEFA494947DF" descr="老者结晶杖"/>
        <xdr:cNvPicPr>
          <a:picLocks noChangeAspect="1"/>
        </xdr:cNvPicPr>
      </xdr:nvPicPr>
      <xdr:blipFill>
        <a:blip r:embed="rId621" r:link="rId2"/>
        <a:stretch>
          <a:fillRect/>
        </a:stretch>
      </xdr:blipFill>
      <xdr:spPr>
        <a:xfrm>
          <a:off x="685800" y="1447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8" name="ID_383879496F83438495769B1AC3894663" descr="异端杖"/>
        <xdr:cNvPicPr>
          <a:picLocks noChangeAspect="1"/>
        </xdr:cNvPicPr>
      </xdr:nvPicPr>
      <xdr:blipFill>
        <a:blip r:embed="rId622" r:link="rId2"/>
        <a:stretch>
          <a:fillRect/>
        </a:stretch>
      </xdr:blipFill>
      <xdr:spPr>
        <a:xfrm>
          <a:off x="685800" y="1619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69" name="ID_AEBF90C5F2694CF698907D06D20D6C29" descr="宫廷魔法师杖"/>
        <xdr:cNvPicPr>
          <a:picLocks noChangeAspect="1"/>
        </xdr:cNvPicPr>
      </xdr:nvPicPr>
      <xdr:blipFill>
        <a:blip r:embed="rId623" r:link="rId2"/>
        <a:stretch>
          <a:fillRect/>
        </a:stretch>
      </xdr:blipFill>
      <xdr:spPr>
        <a:xfrm>
          <a:off x="685800" y="1790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0" name="ID_F71B2B7E036D4E4BBB8F528972B09E85" descr="咒术之火"/>
        <xdr:cNvPicPr>
          <a:picLocks noChangeAspect="1"/>
        </xdr:cNvPicPr>
      </xdr:nvPicPr>
      <xdr:blipFill>
        <a:blip r:embed="rId624" r:link="rId2"/>
        <a:stretch>
          <a:fillRect/>
        </a:stretch>
      </xdr:blipFill>
      <xdr:spPr>
        <a:xfrm>
          <a:off x="685800" y="457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1" name="ID_2D97D5CDF15348368470D1ABBABE091B" descr="咒术送灵火"/>
        <xdr:cNvPicPr>
          <a:picLocks noChangeAspect="1"/>
        </xdr:cNvPicPr>
      </xdr:nvPicPr>
      <xdr:blipFill>
        <a:blip r:embed="rId625" r:link="rId2"/>
        <a:stretch>
          <a:fillRect/>
        </a:stretch>
      </xdr:blipFill>
      <xdr:spPr>
        <a:xfrm>
          <a:off x="685800" y="628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2" name="ID_4CDA79EC7DDB48C3AFD52F5EB3C7E591" descr="白发护符"/>
        <xdr:cNvPicPr>
          <a:picLocks noChangeAspect="1"/>
        </xdr:cNvPicPr>
      </xdr:nvPicPr>
      <xdr:blipFill>
        <a:blip r:embed="rId626" r:link="rId2"/>
        <a:stretch>
          <a:fillRect/>
        </a:stretch>
      </xdr:blipFill>
      <xdr:spPr>
        <a:xfrm>
          <a:off x="685800" y="1771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3" name="ID_A342E2BE6BD0415C933B2101ACC2C6F0" descr="圣女护符"/>
        <xdr:cNvPicPr>
          <a:picLocks noChangeAspect="1"/>
        </xdr:cNvPicPr>
      </xdr:nvPicPr>
      <xdr:blipFill>
        <a:blip r:embed="rId627" r:link="rId2"/>
        <a:stretch>
          <a:fillRect/>
        </a:stretch>
      </xdr:blipFill>
      <xdr:spPr>
        <a:xfrm>
          <a:off x="685800" y="1600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4" name="ID_5924F45385434D0E91D901B27779B5FE" descr="薄暮护符"/>
        <xdr:cNvPicPr>
          <a:picLocks noChangeAspect="1"/>
        </xdr:cNvPicPr>
      </xdr:nvPicPr>
      <xdr:blipFill>
        <a:blip r:embed="rId628" r:link="rId2"/>
        <a:stretch>
          <a:fillRect/>
        </a:stretch>
      </xdr:blipFill>
      <xdr:spPr>
        <a:xfrm>
          <a:off x="685800" y="1428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5" name="ID_D56E6036696645EFA63B92172D45BB86" descr="太阳护符"/>
        <xdr:cNvPicPr>
          <a:picLocks noChangeAspect="1"/>
        </xdr:cNvPicPr>
      </xdr:nvPicPr>
      <xdr:blipFill>
        <a:blip r:embed="rId629" r:link="rId2"/>
        <a:stretch>
          <a:fillRect/>
        </a:stretch>
      </xdr:blipFill>
      <xdr:spPr>
        <a:xfrm>
          <a:off x="685800" y="1085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6" name="ID_444BF9AD76AB47C9ABAD897FF6BCEF83" descr="护符"/>
        <xdr:cNvPicPr>
          <a:picLocks noChangeAspect="1"/>
        </xdr:cNvPicPr>
      </xdr:nvPicPr>
      <xdr:blipFill>
        <a:blip r:embed="rId630" r:link="rId2"/>
        <a:stretch>
          <a:fillRect/>
        </a:stretch>
      </xdr:blipFill>
      <xdr:spPr>
        <a:xfrm>
          <a:off x="685800" y="914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7" name="ID_6D194CAFF6284A78ACEDB7050EE9B36C" descr="粗布护符"/>
        <xdr:cNvPicPr>
          <a:picLocks noChangeAspect="1"/>
        </xdr:cNvPicPr>
      </xdr:nvPicPr>
      <xdr:blipFill>
        <a:blip r:embed="rId631" r:link="rId2"/>
        <a:stretch>
          <a:fillRect/>
        </a:stretch>
      </xdr:blipFill>
      <xdr:spPr>
        <a:xfrm>
          <a:off x="685800" y="1257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8" name="ID_B2E7811C333642808F70EDDA8B0C40C5" descr="费莲诺尔圣铃"/>
        <xdr:cNvPicPr>
          <a:picLocks noChangeAspect="1"/>
        </xdr:cNvPicPr>
      </xdr:nvPicPr>
      <xdr:blipFill>
        <a:blip r:embed="rId632" r:link="rId2"/>
        <a:stretch>
          <a:fillRect/>
        </a:stretch>
      </xdr:blipFill>
      <xdr:spPr>
        <a:xfrm>
          <a:off x="685800" y="2533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79" name="ID_AC5B745FECF14767BBA5AAB07236D01F" descr="结晶圣铃"/>
        <xdr:cNvPicPr>
          <a:picLocks noChangeAspect="1"/>
        </xdr:cNvPicPr>
      </xdr:nvPicPr>
      <xdr:blipFill>
        <a:blip r:embed="rId633" r:link="rId2"/>
        <a:stretch>
          <a:fillRect/>
        </a:stretch>
      </xdr:blipFill>
      <xdr:spPr>
        <a:xfrm>
          <a:off x="685800" y="2362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0" name="ID_C5A55449C1C842A0B66FB7EC260F9EF4" descr="夸特铃铛"/>
        <xdr:cNvPicPr>
          <a:picLocks noChangeAspect="1"/>
        </xdr:cNvPicPr>
      </xdr:nvPicPr>
      <xdr:blipFill>
        <a:blip r:embed="rId634" r:link="rId2"/>
        <a:stretch>
          <a:fillRect/>
        </a:stretch>
      </xdr:blipFill>
      <xdr:spPr>
        <a:xfrm>
          <a:off x="685800" y="2190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1" name="ID_E82AFD7C147E49AD97EA1E914AADBB28" descr="神木铃草"/>
        <xdr:cNvPicPr>
          <a:picLocks noChangeAspect="1"/>
        </xdr:cNvPicPr>
      </xdr:nvPicPr>
      <xdr:blipFill>
        <a:blip r:embed="rId635" r:link="rId2"/>
        <a:stretch>
          <a:fillRect/>
        </a:stretch>
      </xdr:blipFill>
      <xdr:spPr>
        <a:xfrm>
          <a:off x="685800" y="2019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2" name="ID_B3C9AEFFE0B944EE819799C976276300" descr="圣职圣铃"/>
        <xdr:cNvPicPr>
          <a:picLocks noChangeAspect="1"/>
        </xdr:cNvPicPr>
      </xdr:nvPicPr>
      <xdr:blipFill>
        <a:blip r:embed="rId636" r:link="rId2"/>
        <a:stretch>
          <a:fillRect/>
        </a:stretch>
      </xdr:blipFill>
      <xdr:spPr>
        <a:xfrm>
          <a:off x="685800" y="1676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3" name="ID_18097BC5326C4EBFB7BD6B6F67763EA2" descr="幽儿希卡圣铃"/>
        <xdr:cNvPicPr>
          <a:picLocks noChangeAspect="1"/>
        </xdr:cNvPicPr>
      </xdr:nvPicPr>
      <xdr:blipFill>
        <a:blip r:embed="rId637" r:link="rId2"/>
        <a:stretch>
          <a:fillRect/>
        </a:stretch>
      </xdr:blipFill>
      <xdr:spPr>
        <a:xfrm>
          <a:off x="685800" y="1371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4" name="ID_CED61AA318754D03BE75F4994763A3EE" descr="祭司圣铃"/>
        <xdr:cNvPicPr>
          <a:picLocks noChangeAspect="1"/>
        </xdr:cNvPicPr>
      </xdr:nvPicPr>
      <xdr:blipFill>
        <a:blip r:embed="rId638" r:link="rId2"/>
        <a:stretch>
          <a:fillRect/>
        </a:stretch>
      </xdr:blipFill>
      <xdr:spPr>
        <a:xfrm>
          <a:off x="685800" y="1847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5" name="ID_D194C5A0DE734B8EB48909CA15D0C7C9" descr="圣花盾"/>
        <xdr:cNvPicPr>
          <a:picLocks noChangeAspect="1"/>
        </xdr:cNvPicPr>
      </xdr:nvPicPr>
      <xdr:blipFill>
        <a:blip r:embed="rId639" r:link="rId2"/>
        <a:stretch>
          <a:fillRect/>
        </a:stretch>
      </xdr:blipFill>
      <xdr:spPr>
        <a:xfrm>
          <a:off x="685800" y="3486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6" name="ID_525EC62D81054B04A1FB7295D2C7FD02" descr="金鹰小盾"/>
        <xdr:cNvPicPr>
          <a:picLocks noChangeAspect="1"/>
        </xdr:cNvPicPr>
      </xdr:nvPicPr>
      <xdr:blipFill>
        <a:blip r:embed="rId640" r:link="rId2"/>
        <a:stretch>
          <a:fillRect/>
        </a:stretch>
      </xdr:blipFill>
      <xdr:spPr>
        <a:xfrm>
          <a:off x="685800" y="3314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7" name="ID_D506E1AEA0E94EC0AAA5D67AAC34C7CB" descr="林德盾"/>
        <xdr:cNvPicPr>
          <a:picLocks noChangeAspect="1"/>
        </xdr:cNvPicPr>
      </xdr:nvPicPr>
      <xdr:blipFill>
        <a:blip r:embed="rId641" r:link="rId2"/>
        <a:stretch>
          <a:fillRect/>
        </a:stretch>
      </xdr:blipFill>
      <xdr:spPr>
        <a:xfrm>
          <a:off x="685800" y="3143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8" name="ID_20170BD776904EA4A597AA02680E264F" descr="东方铁盾"/>
        <xdr:cNvPicPr>
          <a:picLocks noChangeAspect="1"/>
        </xdr:cNvPicPr>
      </xdr:nvPicPr>
      <xdr:blipFill>
        <a:blip r:embed="rId642" r:link="rId2"/>
        <a:stretch>
          <a:fillRect/>
        </a:stretch>
      </xdr:blipFill>
      <xdr:spPr>
        <a:xfrm>
          <a:off x="685800" y="2971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89" name="ID_DB39C8B5110A45C89885104C4A9BB911" descr="红圆盾"/>
        <xdr:cNvPicPr>
          <a:picLocks noChangeAspect="1"/>
        </xdr:cNvPicPr>
      </xdr:nvPicPr>
      <xdr:blipFill>
        <a:blip r:embed="rId643" r:link="rId2"/>
        <a:stretch>
          <a:fillRect/>
        </a:stretch>
      </xdr:blipFill>
      <xdr:spPr>
        <a:xfrm>
          <a:off x="685800" y="2800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0" name="ID_9F4578FF2BAB41E8A17A987FC648DBE8" descr="皮盾"/>
        <xdr:cNvPicPr>
          <a:picLocks noChangeAspect="1"/>
        </xdr:cNvPicPr>
      </xdr:nvPicPr>
      <xdr:blipFill>
        <a:blip r:embed="rId644" r:link="rId2"/>
        <a:stretch>
          <a:fillRect/>
        </a:stretch>
      </xdr:blipFill>
      <xdr:spPr>
        <a:xfrm>
          <a:off x="685800" y="2628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1" name="ID_B0E6B0DE21E44428B4F714EDB6296451" descr="木板盾"/>
        <xdr:cNvPicPr>
          <a:picLocks noChangeAspect="1"/>
        </xdr:cNvPicPr>
      </xdr:nvPicPr>
      <xdr:blipFill>
        <a:blip r:embed="rId645" r:link="rId2"/>
        <a:stretch>
          <a:fillRect/>
        </a:stretch>
      </xdr:blipFill>
      <xdr:spPr>
        <a:xfrm>
          <a:off x="685800" y="245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2" name="ID_287AB4EFDA214FAEB288DA7BA4108669" descr="红白圆盾"/>
        <xdr:cNvPicPr>
          <a:picLocks noChangeAspect="1"/>
        </xdr:cNvPicPr>
      </xdr:nvPicPr>
      <xdr:blipFill>
        <a:blip r:embed="rId646" r:link="rId2"/>
        <a:stretch>
          <a:fillRect/>
        </a:stretch>
      </xdr:blipFill>
      <xdr:spPr>
        <a:xfrm>
          <a:off x="685800" y="22860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3" name="ID_533F2CCFB42B4FC6980A34BD9DA05425" descr="孪生蛇纹圆盾"/>
        <xdr:cNvPicPr>
          <a:picLocks noChangeAspect="1"/>
        </xdr:cNvPicPr>
      </xdr:nvPicPr>
      <xdr:blipFill>
        <a:blip r:embed="rId647" r:link="rId2"/>
        <a:stretch>
          <a:fillRect/>
        </a:stretch>
      </xdr:blipFill>
      <xdr:spPr>
        <a:xfrm>
          <a:off x="685800" y="1981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4" name="ID_C3988F54835845AD956C84219DC5EDF9" descr="战士圆盾"/>
        <xdr:cNvPicPr>
          <a:picLocks noChangeAspect="1"/>
        </xdr:cNvPicPr>
      </xdr:nvPicPr>
      <xdr:blipFill>
        <a:blip r:embed="rId648" r:link="rId2"/>
        <a:stretch>
          <a:fillRect/>
        </a:stretch>
      </xdr:blipFill>
      <xdr:spPr>
        <a:xfrm>
          <a:off x="685800" y="1809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5" name="ID_186C2450EDDA42A7A00E3F84A37EB776" descr="龙头盾"/>
        <xdr:cNvPicPr>
          <a:picLocks noChangeAspect="1"/>
        </xdr:cNvPicPr>
      </xdr:nvPicPr>
      <xdr:blipFill>
        <a:blip r:embed="rId649" r:link="rId2"/>
        <a:stretch>
          <a:fillRect/>
        </a:stretch>
      </xdr:blipFill>
      <xdr:spPr>
        <a:xfrm>
          <a:off x="685800" y="3657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6" name="ID_C642F75C5F164981B4D789DE64C09C3A" descr="小圆盾"/>
        <xdr:cNvPicPr>
          <a:picLocks noChangeAspect="1"/>
        </xdr:cNvPicPr>
      </xdr:nvPicPr>
      <xdr:blipFill>
        <a:blip r:embed="rId650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7" name="ID_C97F7AA7721D43D9929FA56AF56D2E6C" descr="小皮盾"/>
        <xdr:cNvPicPr>
          <a:picLocks noChangeAspect="1"/>
        </xdr:cNvPicPr>
      </xdr:nvPicPr>
      <xdr:blipFill>
        <a:blip r:embed="rId651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8" name="ID_2C78FD8AB08B45E4B3B697E0A100E60E" descr="霍克伍德盾"/>
        <xdr:cNvPicPr>
          <a:picLocks noChangeAspect="1"/>
        </xdr:cNvPicPr>
      </xdr:nvPicPr>
      <xdr:blipFill>
        <a:blip r:embed="rId652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99" name="ID_B3CFB9A25ADF4597A38AF71F4668F6C9" descr="铁圆盾"/>
        <xdr:cNvPicPr>
          <a:picLocks noChangeAspect="1"/>
        </xdr:cNvPicPr>
      </xdr:nvPicPr>
      <xdr:blipFill>
        <a:blip r:embed="rId653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0" name="ID_519B716B64A84430AD3FCD2F6D648CEA" descr="咕鲁腐败盾"/>
        <xdr:cNvPicPr>
          <a:picLocks noChangeAspect="1"/>
        </xdr:cNvPicPr>
      </xdr:nvPicPr>
      <xdr:blipFill>
        <a:blip r:embed="rId654" r:link="rId2"/>
        <a:stretch>
          <a:fillRect/>
        </a:stretch>
      </xdr:blipFill>
      <xdr:spPr>
        <a:xfrm>
          <a:off x="685800" y="129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1" name="ID_403891AED6DB41F58569E7A107D2AB36" descr="团牌"/>
        <xdr:cNvPicPr>
          <a:picLocks noChangeAspect="1"/>
        </xdr:cNvPicPr>
      </xdr:nvPicPr>
      <xdr:blipFill>
        <a:blip r:embed="rId655" r:link="rId2"/>
        <a:stretch>
          <a:fillRect/>
        </a:stretch>
      </xdr:blipFill>
      <xdr:spPr>
        <a:xfrm>
          <a:off x="685800" y="1466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2" name="ID_EA3A5B96D8E04BB6AF759FEA8D21ADB7" descr="鹿角圆盾"/>
        <xdr:cNvPicPr>
          <a:picLocks noChangeAspect="1"/>
        </xdr:cNvPicPr>
      </xdr:nvPicPr>
      <xdr:blipFill>
        <a:blip r:embed="rId656" r:link="rId2"/>
        <a:stretch>
          <a:fillRect/>
        </a:stretch>
      </xdr:blipFill>
      <xdr:spPr>
        <a:xfrm>
          <a:off x="685800" y="1638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3" name="ID_18DEC99F8E994664BC7F6E98431C93AD" descr="灵树盾"/>
        <xdr:cNvPicPr>
          <a:picLocks noChangeAspect="1"/>
        </xdr:cNvPicPr>
      </xdr:nvPicPr>
      <xdr:blipFill>
        <a:blip r:embed="rId657" r:link="rId2"/>
        <a:stretch>
          <a:fillRect/>
        </a:stretch>
      </xdr:blipFill>
      <xdr:spPr>
        <a:xfrm>
          <a:off x="685800" y="5543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4" name="ID_2EB9C63B30D9453CA66A1244E78C3D6F" descr="幽魂盾"/>
        <xdr:cNvPicPr>
          <a:picLocks noChangeAspect="1"/>
        </xdr:cNvPicPr>
      </xdr:nvPicPr>
      <xdr:blipFill>
        <a:blip r:embed="rId658" r:link="rId2"/>
        <a:stretch>
          <a:fillRect/>
        </a:stretch>
      </xdr:blipFill>
      <xdr:spPr>
        <a:xfrm>
          <a:off x="685800" y="5372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5" name="ID_B30A927BE3C04E1EA6455D87721F73C3" descr="战神木盾"/>
        <xdr:cNvPicPr>
          <a:picLocks noChangeAspect="1"/>
        </xdr:cNvPicPr>
      </xdr:nvPicPr>
      <xdr:blipFill>
        <a:blip r:embed="rId659" r:link="rId2"/>
        <a:stretch>
          <a:fillRect/>
        </a:stretch>
      </xdr:blipFill>
      <xdr:spPr>
        <a:xfrm>
          <a:off x="685800" y="5200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6" name="ID_2DE5D422CB07489D9F28D9288808DBA5" descr="渴望盾"/>
        <xdr:cNvPicPr>
          <a:picLocks noChangeAspect="1"/>
        </xdr:cNvPicPr>
      </xdr:nvPicPr>
      <xdr:blipFill>
        <a:blip r:embed="rId660" r:link="rId2"/>
        <a:stretch>
          <a:fillRect/>
        </a:stretch>
      </xdr:blipFill>
      <xdr:spPr>
        <a:xfrm>
          <a:off x="685800" y="5029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7" name="ID_8E28B08C2C944277A97D868B837F13BF" descr="隶兽盾"/>
        <xdr:cNvPicPr>
          <a:picLocks noChangeAspect="1"/>
        </xdr:cNvPicPr>
      </xdr:nvPicPr>
      <xdr:blipFill>
        <a:blip r:embed="rId661" r:link="rId2"/>
        <a:stretch>
          <a:fillRect/>
        </a:stretch>
      </xdr:blipFill>
      <xdr:spPr>
        <a:xfrm>
          <a:off x="685800" y="4857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8" name="ID_29BC2E9353C444A5925AC64DC540FB86" descr="神木图纹盾"/>
        <xdr:cNvPicPr>
          <a:picLocks noChangeAspect="1"/>
        </xdr:cNvPicPr>
      </xdr:nvPicPr>
      <xdr:blipFill>
        <a:blip r:embed="rId662" r:link="rId2"/>
        <a:stretch>
          <a:fillRect/>
        </a:stretch>
      </xdr:blipFill>
      <xdr:spPr>
        <a:xfrm>
          <a:off x="685800" y="4686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09" name="ID_2CB839916C66413A9D31ACE13E3D91AF" descr="石像圆盾"/>
        <xdr:cNvPicPr>
          <a:picLocks noChangeAspect="1"/>
        </xdr:cNvPicPr>
      </xdr:nvPicPr>
      <xdr:blipFill>
        <a:blip r:embed="rId663" r:link="rId2"/>
        <a:stretch>
          <a:fillRect/>
        </a:stretch>
      </xdr:blipFill>
      <xdr:spPr>
        <a:xfrm>
          <a:off x="685800" y="4514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0" name="ID_6926B65FDE70474492935B0A6E3C7D65" descr="银鹫鸢形盾"/>
        <xdr:cNvPicPr>
          <a:picLocks noChangeAspect="1"/>
        </xdr:cNvPicPr>
      </xdr:nvPicPr>
      <xdr:blipFill>
        <a:blip r:embed="rId664" r:link="rId2"/>
        <a:stretch>
          <a:fillRect/>
        </a:stretch>
      </xdr:blipFill>
      <xdr:spPr>
        <a:xfrm>
          <a:off x="685800" y="4343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1" name="ID_B0DDEB4559F149449ADE05BA769CF739" descr="蓝木盾"/>
        <xdr:cNvPicPr>
          <a:picLocks noChangeAspect="1"/>
        </xdr:cNvPicPr>
      </xdr:nvPicPr>
      <xdr:blipFill>
        <a:blip r:embed="rId665" r:link="rId2"/>
        <a:stretch>
          <a:fillRect/>
        </a:stretch>
      </xdr:blipFill>
      <xdr:spPr>
        <a:xfrm>
          <a:off x="685800" y="4171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2" name="ID_82E97AA18C0B43EEA05394E364D87227" descr="金翼图纹盾"/>
        <xdr:cNvPicPr>
          <a:picLocks noChangeAspect="1"/>
        </xdr:cNvPicPr>
      </xdr:nvPicPr>
      <xdr:blipFill>
        <a:blip r:embed="rId666" r:link="rId2"/>
        <a:stretch>
          <a:fillRect/>
        </a:stretch>
      </xdr:blipFill>
      <xdr:spPr>
        <a:xfrm>
          <a:off x="685800" y="4000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3" name="ID_149EFC99167A4DEABC42BA032DC51A32" descr="黄昏盾"/>
        <xdr:cNvPicPr>
          <a:picLocks noChangeAspect="1"/>
        </xdr:cNvPicPr>
      </xdr:nvPicPr>
      <xdr:blipFill>
        <a:blip r:embed="rId667" r:link="rId2"/>
        <a:stretch>
          <a:fillRect/>
        </a:stretch>
      </xdr:blipFill>
      <xdr:spPr>
        <a:xfrm>
          <a:off x="685800" y="3829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4" name="ID_6BAB3D16AE1546938708C696493A1AA8" descr="草纹盾"/>
        <xdr:cNvPicPr>
          <a:picLocks noChangeAspect="1"/>
        </xdr:cNvPicPr>
      </xdr:nvPicPr>
      <xdr:blipFill>
        <a:blip r:embed="rId668" r:link="rId2"/>
        <a:stretch>
          <a:fillRect/>
        </a:stretch>
      </xdr:blipFill>
      <xdr:spPr>
        <a:xfrm>
          <a:off x="685800" y="3657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5" name="ID_05A53A1CCBAE491EB8253DDBF4D8FE9B" descr="蜘蛛纹盾"/>
        <xdr:cNvPicPr>
          <a:picLocks noChangeAspect="1"/>
        </xdr:cNvPicPr>
      </xdr:nvPicPr>
      <xdr:blipFill>
        <a:blip r:embed="rId669" r:link="rId2"/>
        <a:stretch>
          <a:fillRect/>
        </a:stretch>
      </xdr:blipFill>
      <xdr:spPr>
        <a:xfrm>
          <a:off x="685800" y="3486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6" name="ID_61CBAE1E8A184A6E9BC46AB332ADC86D" descr="龙图纹盾"/>
        <xdr:cNvPicPr>
          <a:picLocks noChangeAspect="1"/>
        </xdr:cNvPicPr>
      </xdr:nvPicPr>
      <xdr:blipFill>
        <a:blip r:embed="rId670" r:link="rId2"/>
        <a:stretch>
          <a:fillRect/>
        </a:stretch>
      </xdr:blipFill>
      <xdr:spPr>
        <a:xfrm>
          <a:off x="685800" y="3314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7" name="ID_8CA8FABA3355477D94832A9E3A99E0D5" descr="图纹盾"/>
        <xdr:cNvPicPr>
          <a:picLocks noChangeAspect="1"/>
        </xdr:cNvPicPr>
      </xdr:nvPicPr>
      <xdr:blipFill>
        <a:blip r:embed="rId671" r:link="rId2"/>
        <a:stretch>
          <a:fillRect/>
        </a:stretch>
      </xdr:blipFill>
      <xdr:spPr>
        <a:xfrm>
          <a:off x="685800" y="3143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8" name="ID_29AC1805381C4B8699E5DDC994EEE6D8" descr="太阳纹盾"/>
        <xdr:cNvPicPr>
          <a:picLocks noChangeAspect="1"/>
        </xdr:cNvPicPr>
      </xdr:nvPicPr>
      <xdr:blipFill>
        <a:blip r:embed="rId672" r:link="rId2"/>
        <a:stretch>
          <a:fillRect/>
        </a:stretch>
      </xdr:blipFill>
      <xdr:spPr>
        <a:xfrm>
          <a:off x="685800" y="2971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19" name="ID_4A0D8547228541019C52FBEE3F846326" descr="双鸟纹木盾"/>
        <xdr:cNvPicPr>
          <a:picLocks noChangeAspect="1"/>
        </xdr:cNvPicPr>
      </xdr:nvPicPr>
      <xdr:blipFill>
        <a:blip r:embed="rId673" r:link="rId2"/>
        <a:stretch>
          <a:fillRect/>
        </a:stretch>
      </xdr:blipFill>
      <xdr:spPr>
        <a:xfrm>
          <a:off x="685800" y="28003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0" name="ID_B53B8FB771A844ADB7857E506BE12024" descr="突刺盾"/>
        <xdr:cNvPicPr>
          <a:picLocks noChangeAspect="1"/>
        </xdr:cNvPicPr>
      </xdr:nvPicPr>
      <xdr:blipFill>
        <a:blip r:embed="rId674" r:link="rId2"/>
        <a:stretch>
          <a:fillRect/>
        </a:stretch>
      </xdr:blipFill>
      <xdr:spPr>
        <a:xfrm>
          <a:off x="685800" y="2628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1" name="ID_5108623860F4486080BBA552688ABA97" descr="黑骑士盾"/>
        <xdr:cNvPicPr>
          <a:picLocks noChangeAspect="1"/>
        </xdr:cNvPicPr>
      </xdr:nvPicPr>
      <xdr:blipFill>
        <a:blip r:embed="rId675" r:link="rId2"/>
        <a:stretch>
          <a:fillRect/>
        </a:stretch>
      </xdr:blipFill>
      <xdr:spPr>
        <a:xfrm>
          <a:off x="685800" y="21145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2" name="ID_5566CE39BF3F42FFB2B201AD0D3A3E71" descr="卡萨斯盾"/>
        <xdr:cNvPicPr>
          <a:picLocks noChangeAspect="1"/>
        </xdr:cNvPicPr>
      </xdr:nvPicPr>
      <xdr:blipFill>
        <a:blip r:embed="rId676" r:link="rId2"/>
        <a:stretch>
          <a:fillRect/>
        </a:stretch>
      </xdr:blipFill>
      <xdr:spPr>
        <a:xfrm>
          <a:off x="685800" y="1943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3" name="ID_91DFCD3D6001450A8A5ED793E6EBD113" descr="刺针盾"/>
        <xdr:cNvPicPr>
          <a:picLocks noChangeAspect="1"/>
        </xdr:cNvPicPr>
      </xdr:nvPicPr>
      <xdr:blipFill>
        <a:blip r:embed="rId677" r:link="rId2"/>
        <a:stretch>
          <a:fillRect/>
        </a:stretch>
      </xdr:blipFill>
      <xdr:spPr>
        <a:xfrm>
          <a:off x="685800" y="24574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4" name="ID_0B1D2451014E4F38A91B23C32D0D33DD" descr="圆盾"/>
        <xdr:cNvPicPr>
          <a:picLocks noChangeAspect="1"/>
        </xdr:cNvPicPr>
      </xdr:nvPicPr>
      <xdr:blipFill>
        <a:blip r:embed="rId678" r:link="rId2"/>
        <a:stretch>
          <a:fillRect/>
        </a:stretch>
      </xdr:blipFill>
      <xdr:spPr>
        <a:xfrm>
          <a:off x="685800" y="609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5" name="ID_7824D2AEDAC94D5DA8A13E3314ED0EDC" descr="大皮盾"/>
        <xdr:cNvPicPr>
          <a:picLocks noChangeAspect="1"/>
        </xdr:cNvPicPr>
      </xdr:nvPicPr>
      <xdr:blipFill>
        <a:blip r:embed="rId679" r:link="rId2"/>
        <a:stretch>
          <a:fillRect/>
        </a:stretch>
      </xdr:blipFill>
      <xdr:spPr>
        <a:xfrm>
          <a:off x="685800" y="781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6" name="ID_BCC623A1B2BA4DDDA8D1E8138E84D19F" descr="木盾"/>
        <xdr:cNvPicPr>
          <a:picLocks noChangeAspect="1"/>
        </xdr:cNvPicPr>
      </xdr:nvPicPr>
      <xdr:blipFill>
        <a:blip r:embed="rId680" r:link="rId2"/>
        <a:stretch>
          <a:fillRect/>
        </a:stretch>
      </xdr:blipFill>
      <xdr:spPr>
        <a:xfrm>
          <a:off x="685800" y="952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7" name="ID_A9C132FACCFC4F1AA8699EF2CC9BE7CC" descr="鸢形盾"/>
        <xdr:cNvPicPr>
          <a:picLocks noChangeAspect="1"/>
        </xdr:cNvPicPr>
      </xdr:nvPicPr>
      <xdr:blipFill>
        <a:blip r:embed="rId681" r:link="rId2"/>
        <a:stretch>
          <a:fillRect/>
        </a:stretch>
      </xdr:blipFill>
      <xdr:spPr>
        <a:xfrm>
          <a:off x="685800" y="1123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8" name="ID_C2F485770A6E4CADA290D6DD9AD96D08" descr="洛斯里克骑士盾"/>
        <xdr:cNvPicPr>
          <a:picLocks noChangeAspect="1"/>
        </xdr:cNvPicPr>
      </xdr:nvPicPr>
      <xdr:blipFill>
        <a:blip r:embed="rId682" r:link="rId2"/>
        <a:stretch>
          <a:fillRect/>
        </a:stretch>
      </xdr:blipFill>
      <xdr:spPr>
        <a:xfrm>
          <a:off x="685800" y="1295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29" name="ID_6FF2860B1EE24F98A12143DB7B3694F6" descr="骑士盾"/>
        <xdr:cNvPicPr>
          <a:picLocks noChangeAspect="1"/>
        </xdr:cNvPicPr>
      </xdr:nvPicPr>
      <xdr:blipFill>
        <a:blip r:embed="rId683" r:link="rId2"/>
        <a:stretch>
          <a:fillRect/>
        </a:stretch>
      </xdr:blipFill>
      <xdr:spPr>
        <a:xfrm>
          <a:off x="685800" y="1600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0" name="ID_38DDEB77A76349779E378C13904B9190" descr="教宗骑士盾"/>
        <xdr:cNvPicPr>
          <a:picLocks noChangeAspect="1"/>
        </xdr:cNvPicPr>
      </xdr:nvPicPr>
      <xdr:blipFill>
        <a:blip r:embed="rId684" r:link="rId2"/>
        <a:stretch>
          <a:fillRect/>
        </a:stretch>
      </xdr:blipFill>
      <xdr:spPr>
        <a:xfrm>
          <a:off x="685800" y="1771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1" name="ID_F1FA436494F3405BA0E943C07BFEF710" descr="银骑士盾"/>
        <xdr:cNvPicPr>
          <a:picLocks noChangeAspect="1"/>
        </xdr:cNvPicPr>
      </xdr:nvPicPr>
      <xdr:blipFill>
        <a:blip r:embed="rId685" r:link="rId2"/>
        <a:stretch>
          <a:fillRect/>
        </a:stretch>
      </xdr:blipFill>
      <xdr:spPr>
        <a:xfrm>
          <a:off x="685800" y="9182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2" name="ID_809AFAC7F1C44E34BBD043609D1D543E" descr="龙头大盾"/>
        <xdr:cNvPicPr>
          <a:picLocks noChangeAspect="1"/>
        </xdr:cNvPicPr>
      </xdr:nvPicPr>
      <xdr:blipFill>
        <a:blip r:embed="rId686" r:link="rId2"/>
        <a:stretch>
          <a:fillRect/>
        </a:stretch>
      </xdr:blipFill>
      <xdr:spPr>
        <a:xfrm>
          <a:off x="685800" y="4057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3" name="ID_A5ADA94705B24635B21D1A7D0A0A9448" descr="大门盾"/>
        <xdr:cNvPicPr>
          <a:picLocks noChangeAspect="1"/>
        </xdr:cNvPicPr>
      </xdr:nvPicPr>
      <xdr:blipFill>
        <a:blip r:embed="rId687" r:link="rId2"/>
        <a:stretch>
          <a:fillRect/>
        </a:stretch>
      </xdr:blipFill>
      <xdr:spPr>
        <a:xfrm>
          <a:off x="685800" y="3886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4" name="ID_831066FE7A60496A90314E7724490912" descr="石制大盾"/>
        <xdr:cNvPicPr>
          <a:picLocks noChangeAspect="1"/>
        </xdr:cNvPicPr>
      </xdr:nvPicPr>
      <xdr:blipFill>
        <a:blip r:embed="rId688" r:link="rId2"/>
        <a:stretch>
          <a:fillRect/>
        </a:stretch>
      </xdr:blipFill>
      <xdr:spPr>
        <a:xfrm>
          <a:off x="685800" y="37147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5" name="ID_70140BE94B374301876C5FFDAE584024" descr="骸骨车轮盾"/>
        <xdr:cNvPicPr>
          <a:picLocks noChangeAspect="1"/>
        </xdr:cNvPicPr>
      </xdr:nvPicPr>
      <xdr:blipFill>
        <a:blip r:embed="rId689" r:link="rId2"/>
        <a:stretch>
          <a:fillRect/>
        </a:stretch>
      </xdr:blipFill>
      <xdr:spPr>
        <a:xfrm>
          <a:off x="685800" y="35433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6" name="ID_BCE3543D37C04158A286AC2AA6268925" descr="抗咒大盾"/>
        <xdr:cNvPicPr>
          <a:picLocks noChangeAspect="1"/>
        </xdr:cNvPicPr>
      </xdr:nvPicPr>
      <xdr:blipFill>
        <a:blip r:embed="rId690" r:link="rId2"/>
        <a:stretch>
          <a:fillRect/>
        </a:stretch>
      </xdr:blipFill>
      <xdr:spPr>
        <a:xfrm>
          <a:off x="685800" y="33718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7" name="ID_C0512944E27140D1BBA5AAA9A9E80E3C" descr="荣誉大盾"/>
        <xdr:cNvPicPr>
          <a:picLocks noChangeAspect="1"/>
        </xdr:cNvPicPr>
      </xdr:nvPicPr>
      <xdr:blipFill>
        <a:blip r:embed="rId691" r:link="rId2"/>
        <a:stretch>
          <a:fillRect/>
        </a:stretch>
      </xdr:blipFill>
      <xdr:spPr>
        <a:xfrm>
          <a:off x="685800" y="32004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8" name="ID_803D97A343654D549B6C2606F737E6AB" descr="双龙大盾"/>
        <xdr:cNvPicPr>
          <a:picLocks noChangeAspect="1"/>
        </xdr:cNvPicPr>
      </xdr:nvPicPr>
      <xdr:blipFill>
        <a:blip r:embed="rId692" r:link="rId2"/>
        <a:stretch>
          <a:fillRect/>
        </a:stretch>
      </xdr:blipFill>
      <xdr:spPr>
        <a:xfrm>
          <a:off x="685800" y="30289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39" name="ID_33CF6B05ECDD44788C75D8811E13F53A" descr="狼骑士大盾"/>
        <xdr:cNvPicPr>
          <a:picLocks noChangeAspect="1"/>
        </xdr:cNvPicPr>
      </xdr:nvPicPr>
      <xdr:blipFill>
        <a:blip r:embed="rId693" r:link="rId2"/>
        <a:stretch>
          <a:fillRect/>
        </a:stretch>
      </xdr:blipFill>
      <xdr:spPr>
        <a:xfrm>
          <a:off x="685800" y="28575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0" name="ID_4DEC39854D564798AC541D97AEFF4802" descr="洛斯里克骑士大盾"/>
        <xdr:cNvPicPr>
          <a:picLocks noChangeAspect="1"/>
        </xdr:cNvPicPr>
      </xdr:nvPicPr>
      <xdr:blipFill>
        <a:blip r:embed="rId694" r:link="rId2"/>
        <a:stretch>
          <a:fillRect/>
        </a:stretch>
      </xdr:blipFill>
      <xdr:spPr>
        <a:xfrm>
          <a:off x="685800" y="15621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1" name="ID_2A0A19868A25487D975A2C33025D1D1E" descr="哈维尔大盾"/>
        <xdr:cNvPicPr>
          <a:picLocks noChangeAspect="1"/>
        </xdr:cNvPicPr>
      </xdr:nvPicPr>
      <xdr:blipFill>
        <a:blip r:embed="rId695" r:link="rId2"/>
        <a:stretch>
          <a:fillRect/>
        </a:stretch>
      </xdr:blipFill>
      <xdr:spPr>
        <a:xfrm>
          <a:off x="685800" y="12192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2" name="ID_BB970D5FC9FD447688DB75F3E0420EA3" descr="古龙绘大盾"/>
        <xdr:cNvPicPr>
          <a:picLocks noChangeAspect="1"/>
        </xdr:cNvPicPr>
      </xdr:nvPicPr>
      <xdr:blipFill>
        <a:blip r:embed="rId696" r:link="rId2"/>
        <a:stretch>
          <a:fillRect/>
        </a:stretch>
      </xdr:blipFill>
      <xdr:spPr>
        <a:xfrm>
          <a:off x="685800" y="13906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3" name="ID_CE71F43A07094B89B163EBAF68E62585" descr="教堂骑士大盾"/>
        <xdr:cNvPicPr>
          <a:picLocks noChangeAspect="1"/>
        </xdr:cNvPicPr>
      </xdr:nvPicPr>
      <xdr:blipFill>
        <a:blip r:embed="rId697" r:link="rId2"/>
        <a:stretch>
          <a:fillRect/>
        </a:stretch>
      </xdr:blipFill>
      <xdr:spPr>
        <a:xfrm>
          <a:off x="685800" y="18669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4" name="ID_2C4D4B9088484E169BD2499DB2199DC8" descr="猎龙大盾"/>
        <xdr:cNvPicPr>
          <a:picLocks noChangeAspect="1"/>
        </xdr:cNvPicPr>
      </xdr:nvPicPr>
      <xdr:blipFill>
        <a:blip r:embed="rId698" r:link="rId2"/>
        <a:stretch>
          <a:fillRect/>
        </a:stretch>
      </xdr:blipFill>
      <xdr:spPr>
        <a:xfrm>
          <a:off x="685800" y="21717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5" name="ID_B0E9325B0B344F59A659EA5AD9EA8482" descr="呻吟盾"/>
        <xdr:cNvPicPr>
          <a:picLocks noChangeAspect="1"/>
        </xdr:cNvPicPr>
      </xdr:nvPicPr>
      <xdr:blipFill>
        <a:blip r:embed="rId699" r:link="rId2"/>
        <a:stretch>
          <a:fillRect/>
        </a:stretch>
      </xdr:blipFill>
      <xdr:spPr>
        <a:xfrm>
          <a:off x="685800" y="23431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6" name="ID_68F05C000312415DA76C17DDE3823103" descr="尤姆大盾"/>
        <xdr:cNvPicPr>
          <a:picLocks noChangeAspect="1"/>
        </xdr:cNvPicPr>
      </xdr:nvPicPr>
      <xdr:blipFill>
        <a:blip r:embed="rId700" r:link="rId2"/>
        <a:stretch>
          <a:fillRect/>
        </a:stretch>
      </xdr:blipFill>
      <xdr:spPr>
        <a:xfrm>
          <a:off x="685800" y="25146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7" name="ID_B063F91C500343E59F333B7AB471FFA4" descr="黑铁大盾"/>
        <xdr:cNvPicPr>
          <a:picLocks noChangeAspect="1"/>
        </xdr:cNvPicPr>
      </xdr:nvPicPr>
      <xdr:blipFill>
        <a:blip r:embed="rId701" r:link="rId2"/>
        <a:stretch>
          <a:fillRect/>
        </a:stretch>
      </xdr:blipFill>
      <xdr:spPr>
        <a:xfrm>
          <a:off x="685800" y="26860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8" name="ID_EF31ED6BEE304B0AB35084908A3F2919" descr="火把"/>
        <xdr:cNvPicPr>
          <a:picLocks noChangeAspect="1"/>
        </xdr:cNvPicPr>
      </xdr:nvPicPr>
      <xdr:blipFill>
        <a:blip r:embed="rId702" r:link="rId2"/>
        <a:stretch>
          <a:fillRect/>
        </a:stretch>
      </xdr:blipFill>
      <xdr:spPr>
        <a:xfrm>
          <a:off x="685800" y="182880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49" name="ID_F37EEACBBDAF42638A6DA3E76D9AF4E8" descr="幽魂火把"/>
        <xdr:cNvPicPr>
          <a:picLocks noChangeAspect="1"/>
        </xdr:cNvPicPr>
      </xdr:nvPicPr>
      <xdr:blipFill>
        <a:blip r:embed="rId703" r:link="rId2"/>
        <a:stretch>
          <a:fillRect/>
        </a:stretch>
      </xdr:blipFill>
      <xdr:spPr>
        <a:xfrm>
          <a:off x="685800" y="2000250"/>
          <a:ext cx="1905000" cy="190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0" name="ID_C73C5CD22D16449DB8E812A1B4958694" descr="游民星空"/>
        <xdr:cNvPicPr>
          <a:picLocks noChangeAspect="1"/>
        </xdr:cNvPicPr>
      </xdr:nvPicPr>
      <xdr:blipFill>
        <a:blip r:embed="rId704" r:link="rId2"/>
        <a:stretch>
          <a:fillRect/>
        </a:stretch>
      </xdr:blipFill>
      <xdr:spPr>
        <a:xfrm>
          <a:off x="981075" y="16212185"/>
          <a:ext cx="5143500" cy="69818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1" name="ID_A7531F2A1C7849FF9D15448BE95ED30D" descr="游民星空"/>
        <xdr:cNvPicPr>
          <a:picLocks noChangeAspect="1"/>
        </xdr:cNvPicPr>
      </xdr:nvPicPr>
      <xdr:blipFill>
        <a:blip r:embed="rId705" r:link="rId2"/>
        <a:stretch>
          <a:fillRect/>
        </a:stretch>
      </xdr:blipFill>
      <xdr:spPr>
        <a:xfrm>
          <a:off x="981075" y="17533620"/>
          <a:ext cx="5105400" cy="69151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2" name="ID_16AFE0D34E5A41C6BB12CE7E9F558002" descr="游民星空"/>
        <xdr:cNvPicPr>
          <a:picLocks noChangeAspect="1"/>
        </xdr:cNvPicPr>
      </xdr:nvPicPr>
      <xdr:blipFill>
        <a:blip r:embed="rId706" r:link="rId2"/>
        <a:stretch>
          <a:fillRect/>
        </a:stretch>
      </xdr:blipFill>
      <xdr:spPr>
        <a:xfrm>
          <a:off x="981075" y="39197280"/>
          <a:ext cx="5029200" cy="6867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3" name="ID_457ADCFFCED24946B6DF46486096810C" descr="游民星空"/>
        <xdr:cNvPicPr>
          <a:picLocks noChangeAspect="1"/>
        </xdr:cNvPicPr>
      </xdr:nvPicPr>
      <xdr:blipFill>
        <a:blip r:embed="rId707" r:link="rId2"/>
        <a:stretch>
          <a:fillRect/>
        </a:stretch>
      </xdr:blipFill>
      <xdr:spPr>
        <a:xfrm>
          <a:off x="981075" y="40526335"/>
          <a:ext cx="5095875" cy="69532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4" name="ID_3B4D852AE212492F9A02C9DD96C85F13" descr="游民星空"/>
        <xdr:cNvPicPr>
          <a:picLocks noChangeAspect="1"/>
        </xdr:cNvPicPr>
      </xdr:nvPicPr>
      <xdr:blipFill>
        <a:blip r:embed="rId708" r:link="rId2"/>
        <a:stretch>
          <a:fillRect/>
        </a:stretch>
      </xdr:blipFill>
      <xdr:spPr>
        <a:xfrm>
          <a:off x="981075" y="117996970"/>
          <a:ext cx="5010150" cy="6858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5" name="ID_F6029093AAA7413FB05519109C730D0B" descr="游民星空"/>
        <xdr:cNvPicPr>
          <a:picLocks noChangeAspect="1"/>
        </xdr:cNvPicPr>
      </xdr:nvPicPr>
      <xdr:blipFill>
        <a:blip r:embed="rId709" r:link="rId2"/>
        <a:stretch>
          <a:fillRect/>
        </a:stretch>
      </xdr:blipFill>
      <xdr:spPr>
        <a:xfrm>
          <a:off x="981075" y="121559320"/>
          <a:ext cx="4943475" cy="68103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6" name="ID_10717A6BD378474DA6BD8784EC22B80A" descr="游民星空"/>
        <xdr:cNvPicPr>
          <a:picLocks noChangeAspect="1"/>
        </xdr:cNvPicPr>
      </xdr:nvPicPr>
      <xdr:blipFill>
        <a:blip r:embed="rId710" r:link="rId2"/>
        <a:stretch>
          <a:fillRect/>
        </a:stretch>
      </xdr:blipFill>
      <xdr:spPr>
        <a:xfrm>
          <a:off x="981075" y="109348270"/>
          <a:ext cx="5076825" cy="6867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7" name="ID_9601BF5101714550A5A574513A932C64" descr="游民星空"/>
        <xdr:cNvPicPr>
          <a:picLocks noChangeAspect="1"/>
        </xdr:cNvPicPr>
      </xdr:nvPicPr>
      <xdr:blipFill>
        <a:blip r:embed="rId711" r:link="rId2"/>
        <a:stretch>
          <a:fillRect/>
        </a:stretch>
      </xdr:blipFill>
      <xdr:spPr>
        <a:xfrm>
          <a:off x="981075" y="68143120"/>
          <a:ext cx="5019675" cy="68865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8" name="ID_F8BA33393FC94413B6644E0EEDE80655" descr="游民星空"/>
        <xdr:cNvPicPr>
          <a:picLocks noChangeAspect="1"/>
        </xdr:cNvPicPr>
      </xdr:nvPicPr>
      <xdr:blipFill>
        <a:blip r:embed="rId712" r:link="rId2"/>
        <a:stretch>
          <a:fillRect/>
        </a:stretch>
      </xdr:blipFill>
      <xdr:spPr>
        <a:xfrm>
          <a:off x="981075" y="73400920"/>
          <a:ext cx="5038725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39" name="ID_F0D2F1569438465495D519BE4D87BF4E" descr="游民星空"/>
        <xdr:cNvPicPr>
          <a:picLocks noChangeAspect="1"/>
        </xdr:cNvPicPr>
      </xdr:nvPicPr>
      <xdr:blipFill>
        <a:blip r:embed="rId713" r:link="rId2"/>
        <a:stretch>
          <a:fillRect/>
        </a:stretch>
      </xdr:blipFill>
      <xdr:spPr>
        <a:xfrm>
          <a:off x="981075" y="67971670"/>
          <a:ext cx="4972050" cy="69246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0" name="ID_E70EDDBD0CBD442883CF818C7A9E5F6B" descr="游民星空"/>
        <xdr:cNvPicPr>
          <a:picLocks noChangeAspect="1"/>
        </xdr:cNvPicPr>
      </xdr:nvPicPr>
      <xdr:blipFill>
        <a:blip r:embed="rId714" r:link="rId2"/>
        <a:stretch>
          <a:fillRect/>
        </a:stretch>
      </xdr:blipFill>
      <xdr:spPr>
        <a:xfrm>
          <a:off x="981075" y="55932070"/>
          <a:ext cx="5029200" cy="69151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1" name="ID_755955EEE5454D268465F5D463769740" descr="游民星空"/>
        <xdr:cNvPicPr>
          <a:picLocks noChangeAspect="1"/>
        </xdr:cNvPicPr>
      </xdr:nvPicPr>
      <xdr:blipFill>
        <a:blip r:embed="rId715" r:link="rId2"/>
        <a:stretch>
          <a:fillRect/>
        </a:stretch>
      </xdr:blipFill>
      <xdr:spPr>
        <a:xfrm>
          <a:off x="981075" y="131735830"/>
          <a:ext cx="4933950" cy="66865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2" name="ID_75EC9DF93BD447CFB74A455058557775" descr="游民星空"/>
        <xdr:cNvPicPr>
          <a:picLocks noChangeAspect="1"/>
        </xdr:cNvPicPr>
      </xdr:nvPicPr>
      <xdr:blipFill>
        <a:blip r:embed="rId716" r:link="rId2"/>
        <a:stretch>
          <a:fillRect/>
        </a:stretch>
      </xdr:blipFill>
      <xdr:spPr>
        <a:xfrm>
          <a:off x="981075" y="131907280"/>
          <a:ext cx="4981575" cy="66294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3" name="ID_E4CCE23B878F41ADBD85FC2C3BD022E6" descr="游民星空"/>
        <xdr:cNvPicPr>
          <a:picLocks noChangeAspect="1"/>
        </xdr:cNvPicPr>
      </xdr:nvPicPr>
      <xdr:blipFill>
        <a:blip r:embed="rId717" r:link="rId2"/>
        <a:stretch>
          <a:fillRect/>
        </a:stretch>
      </xdr:blipFill>
      <xdr:spPr>
        <a:xfrm>
          <a:off x="981075" y="132078730"/>
          <a:ext cx="4972050" cy="66294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4" name="ID_3C51A6D699E14E9A892C49874B85B8C0" descr="游民星空"/>
        <xdr:cNvPicPr>
          <a:picLocks noChangeAspect="1"/>
        </xdr:cNvPicPr>
      </xdr:nvPicPr>
      <xdr:blipFill>
        <a:blip r:embed="rId718" r:link="rId2"/>
        <a:stretch>
          <a:fillRect/>
        </a:stretch>
      </xdr:blipFill>
      <xdr:spPr>
        <a:xfrm>
          <a:off x="981075" y="131392930"/>
          <a:ext cx="5048250" cy="67056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5" name="ID_AC36B2092EA747649B4900EC5FBFE5E8" descr="游民星空"/>
        <xdr:cNvPicPr>
          <a:picLocks noChangeAspect="1"/>
        </xdr:cNvPicPr>
      </xdr:nvPicPr>
      <xdr:blipFill>
        <a:blip r:embed="rId719" r:link="rId2"/>
        <a:stretch>
          <a:fillRect/>
        </a:stretch>
      </xdr:blipFill>
      <xdr:spPr>
        <a:xfrm>
          <a:off x="981075" y="55589170"/>
          <a:ext cx="5019675" cy="6877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6" name="ID_8D9CB13D197B43B2A63C417484423DD9" descr="游民星空"/>
        <xdr:cNvPicPr>
          <a:picLocks noChangeAspect="1"/>
        </xdr:cNvPicPr>
      </xdr:nvPicPr>
      <xdr:blipFill>
        <a:blip r:embed="rId720" r:link="rId2"/>
        <a:stretch>
          <a:fillRect/>
        </a:stretch>
      </xdr:blipFill>
      <xdr:spPr>
        <a:xfrm>
          <a:off x="981075" y="50331370"/>
          <a:ext cx="5019675" cy="69151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7" name="ID_E2D8840AC1DA4403816E13466BB26156" descr="游民星空"/>
        <xdr:cNvPicPr>
          <a:picLocks noChangeAspect="1"/>
        </xdr:cNvPicPr>
      </xdr:nvPicPr>
      <xdr:blipFill>
        <a:blip r:embed="rId721" r:link="rId2"/>
        <a:stretch>
          <a:fillRect/>
        </a:stretch>
      </xdr:blipFill>
      <xdr:spPr>
        <a:xfrm>
          <a:off x="981075" y="132935980"/>
          <a:ext cx="5124450" cy="6867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8" name="ID_628EA95712CA41C09DD5AAEB7CC9EDB4" descr="游民星空"/>
        <xdr:cNvPicPr>
          <a:picLocks noChangeAspect="1"/>
        </xdr:cNvPicPr>
      </xdr:nvPicPr>
      <xdr:blipFill>
        <a:blip r:embed="rId722" r:link="rId2"/>
        <a:stretch>
          <a:fillRect/>
        </a:stretch>
      </xdr:blipFill>
      <xdr:spPr>
        <a:xfrm>
          <a:off x="981075" y="132764530"/>
          <a:ext cx="4972050" cy="67913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49" name="ID_90E5F3F077BA4379A48BD7AD98791D1F" descr="游民星空"/>
        <xdr:cNvPicPr>
          <a:picLocks noChangeAspect="1"/>
        </xdr:cNvPicPr>
      </xdr:nvPicPr>
      <xdr:blipFill>
        <a:blip r:embed="rId723" r:link="rId2"/>
        <a:stretch>
          <a:fillRect/>
        </a:stretch>
      </xdr:blipFill>
      <xdr:spPr>
        <a:xfrm>
          <a:off x="981075" y="132593080"/>
          <a:ext cx="4924425" cy="67056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0" name="ID_127D9998E7424E35A2E08AA36127D53A" descr="游民星空"/>
        <xdr:cNvPicPr>
          <a:picLocks noChangeAspect="1"/>
        </xdr:cNvPicPr>
      </xdr:nvPicPr>
      <xdr:blipFill>
        <a:blip r:embed="rId724" r:link="rId2"/>
        <a:stretch>
          <a:fillRect/>
        </a:stretch>
      </xdr:blipFill>
      <xdr:spPr>
        <a:xfrm>
          <a:off x="981075" y="132421630"/>
          <a:ext cx="5010150" cy="66675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1" name="ID_101E62184FA04643A914130B2D8A2A20" descr="游民星空"/>
        <xdr:cNvPicPr>
          <a:picLocks noChangeAspect="1"/>
        </xdr:cNvPicPr>
      </xdr:nvPicPr>
      <xdr:blipFill>
        <a:blip r:embed="rId725" r:link="rId2"/>
        <a:stretch>
          <a:fillRect/>
        </a:stretch>
      </xdr:blipFill>
      <xdr:spPr>
        <a:xfrm>
          <a:off x="981075" y="132250180"/>
          <a:ext cx="4962525" cy="65817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2" name="ID_572F179863BB4CACA7DF7214F6426FAC" descr="游民星空"/>
        <xdr:cNvPicPr>
          <a:picLocks noChangeAspect="1"/>
        </xdr:cNvPicPr>
      </xdr:nvPicPr>
      <xdr:blipFill>
        <a:blip r:embed="rId726" r:link="rId2"/>
        <a:stretch>
          <a:fillRect/>
        </a:stretch>
      </xdr:blipFill>
      <xdr:spPr>
        <a:xfrm>
          <a:off x="981075" y="135017510"/>
          <a:ext cx="3810000" cy="66675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3" name="ID_FEADF6765EE4468A8CD6758DF1976231" descr="游民星空"/>
        <xdr:cNvPicPr>
          <a:picLocks noChangeAspect="1"/>
        </xdr:cNvPicPr>
      </xdr:nvPicPr>
      <xdr:blipFill>
        <a:blip r:embed="rId727" r:link="rId2"/>
        <a:stretch>
          <a:fillRect/>
        </a:stretch>
      </xdr:blipFill>
      <xdr:spPr>
        <a:xfrm>
          <a:off x="981075" y="115963700"/>
          <a:ext cx="4972050" cy="66389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4" name="ID_2F48D7D1772644DE8744A6D434DBDA23" descr="游民星空"/>
        <xdr:cNvPicPr>
          <a:picLocks noChangeAspect="1"/>
        </xdr:cNvPicPr>
      </xdr:nvPicPr>
      <xdr:blipFill>
        <a:blip r:embed="rId728" r:link="rId2"/>
        <a:stretch>
          <a:fillRect/>
        </a:stretch>
      </xdr:blipFill>
      <xdr:spPr>
        <a:xfrm>
          <a:off x="981075" y="114475260"/>
          <a:ext cx="4953000" cy="66389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5" name="ID_8A5539D0D41E419484ED375158B76EFD" descr="游民星空"/>
        <xdr:cNvPicPr>
          <a:picLocks noChangeAspect="1"/>
        </xdr:cNvPicPr>
      </xdr:nvPicPr>
      <xdr:blipFill>
        <a:blip r:embed="rId729" r:link="rId2"/>
        <a:stretch>
          <a:fillRect/>
        </a:stretch>
      </xdr:blipFill>
      <xdr:spPr>
        <a:xfrm>
          <a:off x="981075" y="119836565"/>
          <a:ext cx="4972050" cy="66389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6" name="ID_9E571DFAE1454345BB1780A1B7887E0E" descr="游民星空"/>
        <xdr:cNvPicPr>
          <a:picLocks noChangeAspect="1"/>
        </xdr:cNvPicPr>
      </xdr:nvPicPr>
      <xdr:blipFill>
        <a:blip r:embed="rId730" r:link="rId2"/>
        <a:stretch>
          <a:fillRect/>
        </a:stretch>
      </xdr:blipFill>
      <xdr:spPr>
        <a:xfrm>
          <a:off x="981075" y="118324630"/>
          <a:ext cx="5038725" cy="66389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7" name="ID_D2F94605A364490FB5BAE4262B86941F" descr="游民星空"/>
        <xdr:cNvPicPr>
          <a:picLocks noChangeAspect="1"/>
        </xdr:cNvPicPr>
      </xdr:nvPicPr>
      <xdr:blipFill>
        <a:blip r:embed="rId731" r:link="rId2"/>
        <a:stretch>
          <a:fillRect/>
        </a:stretch>
      </xdr:blipFill>
      <xdr:spPr>
        <a:xfrm>
          <a:off x="981075" y="118153180"/>
          <a:ext cx="4962525" cy="66198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8" name="ID_D552155ACC494873B379D9266A143767" descr="游民星空"/>
        <xdr:cNvPicPr>
          <a:picLocks noChangeAspect="1"/>
        </xdr:cNvPicPr>
      </xdr:nvPicPr>
      <xdr:blipFill>
        <a:blip r:embed="rId732" r:link="rId2"/>
        <a:stretch>
          <a:fillRect/>
        </a:stretch>
      </xdr:blipFill>
      <xdr:spPr>
        <a:xfrm>
          <a:off x="981075" y="116649500"/>
          <a:ext cx="5029200" cy="66579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59" name="ID_A04C5B320E95430BB971CA296ADA7DEA" descr="游民星空"/>
        <xdr:cNvPicPr>
          <a:picLocks noChangeAspect="1"/>
        </xdr:cNvPicPr>
      </xdr:nvPicPr>
      <xdr:blipFill>
        <a:blip r:embed="rId733" r:link="rId2"/>
        <a:stretch>
          <a:fillRect/>
        </a:stretch>
      </xdr:blipFill>
      <xdr:spPr>
        <a:xfrm>
          <a:off x="981075" y="116478050"/>
          <a:ext cx="4933950" cy="66675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0" name="ID_BAAB372D96A649399870322F248509CB" descr="游民星空"/>
        <xdr:cNvPicPr>
          <a:picLocks noChangeAspect="1"/>
        </xdr:cNvPicPr>
      </xdr:nvPicPr>
      <xdr:blipFill>
        <a:blip r:embed="rId734" r:link="rId2"/>
        <a:stretch>
          <a:fillRect/>
        </a:stretch>
      </xdr:blipFill>
      <xdr:spPr>
        <a:xfrm>
          <a:off x="981075" y="116306600"/>
          <a:ext cx="5029200" cy="65627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1" name="ID_8B9CC364ED3C4D5D9BB2EA07643D40BB" descr="游民星空"/>
        <xdr:cNvPicPr>
          <a:picLocks noChangeAspect="1"/>
        </xdr:cNvPicPr>
      </xdr:nvPicPr>
      <xdr:blipFill>
        <a:blip r:embed="rId735" r:link="rId2"/>
        <a:stretch>
          <a:fillRect/>
        </a:stretch>
      </xdr:blipFill>
      <xdr:spPr>
        <a:xfrm>
          <a:off x="981075" y="116135150"/>
          <a:ext cx="4972050" cy="6677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2" name="ID_8E98DEC59FCD4E6D84AEAFBDC7BF330D" descr="游民星空"/>
        <xdr:cNvPicPr>
          <a:picLocks noChangeAspect="1"/>
        </xdr:cNvPicPr>
      </xdr:nvPicPr>
      <xdr:blipFill>
        <a:blip r:embed="rId736" r:link="rId2"/>
        <a:stretch>
          <a:fillRect/>
        </a:stretch>
      </xdr:blipFill>
      <xdr:spPr>
        <a:xfrm>
          <a:off x="981075" y="94129860"/>
          <a:ext cx="4972050" cy="67627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3" name="ID_3151D7E25342451CA8B0DD5198055B8E" descr="游民星空"/>
        <xdr:cNvPicPr>
          <a:picLocks noChangeAspect="1"/>
        </xdr:cNvPicPr>
      </xdr:nvPicPr>
      <xdr:blipFill>
        <a:blip r:embed="rId737" r:link="rId2"/>
        <a:stretch>
          <a:fillRect/>
        </a:stretch>
      </xdr:blipFill>
      <xdr:spPr>
        <a:xfrm>
          <a:off x="981075" y="94301310"/>
          <a:ext cx="5010150" cy="67913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4" name="ID_4BC901F4892944028D846979981E98D4" descr="游民星空"/>
        <xdr:cNvPicPr>
          <a:picLocks noChangeAspect="1"/>
        </xdr:cNvPicPr>
      </xdr:nvPicPr>
      <xdr:blipFill>
        <a:blip r:embed="rId738" r:link="rId2"/>
        <a:stretch>
          <a:fillRect/>
        </a:stretch>
      </xdr:blipFill>
      <xdr:spPr>
        <a:xfrm>
          <a:off x="981075" y="94472760"/>
          <a:ext cx="5000625" cy="6800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5" name="ID_CDC975F6EEB44276B3636E7DE076CDFE" descr="游民星空"/>
        <xdr:cNvPicPr>
          <a:picLocks noChangeAspect="1"/>
        </xdr:cNvPicPr>
      </xdr:nvPicPr>
      <xdr:blipFill>
        <a:blip r:embed="rId739" r:link="rId2"/>
        <a:stretch>
          <a:fillRect/>
        </a:stretch>
      </xdr:blipFill>
      <xdr:spPr>
        <a:xfrm>
          <a:off x="981075" y="94644210"/>
          <a:ext cx="5010150" cy="6848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7" name="ID_06900688A4CD45E6B5AEA132CF13A79B" descr="游民星空"/>
        <xdr:cNvPicPr>
          <a:picLocks noChangeAspect="1"/>
        </xdr:cNvPicPr>
      </xdr:nvPicPr>
      <xdr:blipFill>
        <a:blip r:embed="rId740" r:link="rId2"/>
        <a:stretch>
          <a:fillRect/>
        </a:stretch>
      </xdr:blipFill>
      <xdr:spPr>
        <a:xfrm>
          <a:off x="981075" y="96015810"/>
          <a:ext cx="5029200" cy="66484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69" name="ID_AD4DED0DDBD0418C9D99147A574BAC27" descr="游民星空"/>
        <xdr:cNvPicPr>
          <a:picLocks noChangeAspect="1"/>
        </xdr:cNvPicPr>
      </xdr:nvPicPr>
      <xdr:blipFill>
        <a:blip r:embed="rId741" r:link="rId2"/>
        <a:stretch>
          <a:fillRect/>
        </a:stretch>
      </xdr:blipFill>
      <xdr:spPr>
        <a:xfrm>
          <a:off x="981075" y="95672910"/>
          <a:ext cx="4876800" cy="66675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0" name="ID_D016BC06EA4E4787B0AB1622DCB13C59" descr="游民星空"/>
        <xdr:cNvPicPr>
          <a:picLocks noChangeAspect="1"/>
        </xdr:cNvPicPr>
      </xdr:nvPicPr>
      <xdr:blipFill>
        <a:blip r:embed="rId742" r:link="rId2"/>
        <a:stretch>
          <a:fillRect/>
        </a:stretch>
      </xdr:blipFill>
      <xdr:spPr>
        <a:xfrm>
          <a:off x="981075" y="95501460"/>
          <a:ext cx="5048250" cy="6677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2" name="ID_C16636F4E48041258CF476C66435F049" descr="游民星空"/>
        <xdr:cNvPicPr>
          <a:picLocks noChangeAspect="1"/>
        </xdr:cNvPicPr>
      </xdr:nvPicPr>
      <xdr:blipFill>
        <a:blip r:embed="rId743" r:link="rId2"/>
        <a:stretch>
          <a:fillRect/>
        </a:stretch>
      </xdr:blipFill>
      <xdr:spPr>
        <a:xfrm>
          <a:off x="981075" y="94987110"/>
          <a:ext cx="5029200" cy="68294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3" name="ID_552AFB0B24A347D7AACBABFB168CE781" descr="游民星空"/>
        <xdr:cNvPicPr>
          <a:picLocks noChangeAspect="1"/>
        </xdr:cNvPicPr>
      </xdr:nvPicPr>
      <xdr:blipFill>
        <a:blip r:embed="rId744" r:link="rId2"/>
        <a:stretch>
          <a:fillRect/>
        </a:stretch>
      </xdr:blipFill>
      <xdr:spPr>
        <a:xfrm>
          <a:off x="981075" y="94815660"/>
          <a:ext cx="5029200" cy="67437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4" name="ID_373F7ED13D1549E684E847A15A302D29" descr="游民星空"/>
        <xdr:cNvPicPr>
          <a:picLocks noChangeAspect="1"/>
        </xdr:cNvPicPr>
      </xdr:nvPicPr>
      <xdr:blipFill>
        <a:blip r:embed="rId745" r:link="rId2"/>
        <a:stretch>
          <a:fillRect/>
        </a:stretch>
      </xdr:blipFill>
      <xdr:spPr>
        <a:xfrm>
          <a:off x="981075" y="53538755"/>
          <a:ext cx="5010150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6" name="ID_9E603493868C4828971BAC6D0489E9F4" descr="游民星空"/>
        <xdr:cNvPicPr>
          <a:picLocks noChangeAspect="1"/>
        </xdr:cNvPicPr>
      </xdr:nvPicPr>
      <xdr:blipFill>
        <a:blip r:embed="rId745" r:link="rId2"/>
        <a:stretch>
          <a:fillRect/>
        </a:stretch>
      </xdr:blipFill>
      <xdr:spPr>
        <a:xfrm>
          <a:off x="981075" y="56553100"/>
          <a:ext cx="5010150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8" name="ID_42E28A6CD00445DBA179E6DB9E833AE5" descr="游民星空"/>
        <xdr:cNvPicPr>
          <a:picLocks noChangeAspect="1"/>
        </xdr:cNvPicPr>
      </xdr:nvPicPr>
      <xdr:blipFill>
        <a:blip r:embed="rId746" r:link="rId2"/>
        <a:stretch>
          <a:fillRect/>
        </a:stretch>
      </xdr:blipFill>
      <xdr:spPr>
        <a:xfrm>
          <a:off x="981075" y="56896000"/>
          <a:ext cx="5019675" cy="68199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9" name="ID_B54677529292452090A1AD90155FF4D1" descr="游民星空"/>
        <xdr:cNvPicPr>
          <a:picLocks noChangeAspect="1"/>
        </xdr:cNvPicPr>
      </xdr:nvPicPr>
      <xdr:blipFill>
        <a:blip r:embed="rId747" r:link="rId2"/>
        <a:stretch>
          <a:fillRect/>
        </a:stretch>
      </xdr:blipFill>
      <xdr:spPr>
        <a:xfrm>
          <a:off x="981075" y="57067450"/>
          <a:ext cx="5038725" cy="68103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0" name="ID_2ACC565A8EFE41299B8FC770CA5DCAA1" descr="游民星空"/>
        <xdr:cNvPicPr>
          <a:picLocks noChangeAspect="1"/>
        </xdr:cNvPicPr>
      </xdr:nvPicPr>
      <xdr:blipFill>
        <a:blip r:embed="rId748" r:link="rId2"/>
        <a:stretch>
          <a:fillRect/>
        </a:stretch>
      </xdr:blipFill>
      <xdr:spPr>
        <a:xfrm>
          <a:off x="981075" y="57238900"/>
          <a:ext cx="5000625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1" name="ID_0045260D609C45F29EFFC7FBDE58F1CD" descr="游民星空"/>
        <xdr:cNvPicPr>
          <a:picLocks noChangeAspect="1"/>
        </xdr:cNvPicPr>
      </xdr:nvPicPr>
      <xdr:blipFill>
        <a:blip r:embed="rId749" r:link="rId2"/>
        <a:stretch>
          <a:fillRect/>
        </a:stretch>
      </xdr:blipFill>
      <xdr:spPr>
        <a:xfrm>
          <a:off x="981075" y="57410350"/>
          <a:ext cx="4981575" cy="68199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2" name="ID_D574B1D61BFA4D8C80AD32584739761F" descr="游民星空"/>
        <xdr:cNvPicPr>
          <a:picLocks noChangeAspect="1"/>
        </xdr:cNvPicPr>
      </xdr:nvPicPr>
      <xdr:blipFill>
        <a:blip r:embed="rId750" r:link="rId2"/>
        <a:stretch>
          <a:fillRect/>
        </a:stretch>
      </xdr:blipFill>
      <xdr:spPr>
        <a:xfrm>
          <a:off x="981075" y="60271660"/>
          <a:ext cx="4953000" cy="68199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3" name="ID_3D0204ACAF0F43089C4EFD868556D021" descr="游民星空"/>
        <xdr:cNvPicPr>
          <a:picLocks noChangeAspect="1"/>
        </xdr:cNvPicPr>
      </xdr:nvPicPr>
      <xdr:blipFill>
        <a:blip r:embed="rId751" r:link="rId2"/>
        <a:stretch>
          <a:fillRect/>
        </a:stretch>
      </xdr:blipFill>
      <xdr:spPr>
        <a:xfrm>
          <a:off x="981075" y="60443110"/>
          <a:ext cx="4981575" cy="67627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4" name="ID_6EC1B5C864554C669DB18C27CB8C96A7" descr="游民星空"/>
        <xdr:cNvPicPr>
          <a:picLocks noChangeAspect="1"/>
        </xdr:cNvPicPr>
      </xdr:nvPicPr>
      <xdr:blipFill>
        <a:blip r:embed="rId752" r:link="rId2"/>
        <a:stretch>
          <a:fillRect/>
        </a:stretch>
      </xdr:blipFill>
      <xdr:spPr>
        <a:xfrm>
          <a:off x="981075" y="60614560"/>
          <a:ext cx="4953000" cy="67722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5" name="ID_02C0B43CD4ED4E58AA1D8E79F4FB9261" descr="游民星空"/>
        <xdr:cNvPicPr>
          <a:picLocks noChangeAspect="1"/>
        </xdr:cNvPicPr>
      </xdr:nvPicPr>
      <xdr:blipFill>
        <a:blip r:embed="rId753" r:link="rId2"/>
        <a:stretch>
          <a:fillRect/>
        </a:stretch>
      </xdr:blipFill>
      <xdr:spPr>
        <a:xfrm>
          <a:off x="981075" y="62106810"/>
          <a:ext cx="5019675" cy="67722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6" name="ID_3E6C75F9E90642D984B793D9096DF587" descr="游民星空"/>
        <xdr:cNvPicPr>
          <a:picLocks noChangeAspect="1"/>
        </xdr:cNvPicPr>
      </xdr:nvPicPr>
      <xdr:blipFill>
        <a:blip r:embed="rId754" r:link="rId2"/>
        <a:stretch>
          <a:fillRect/>
        </a:stretch>
      </xdr:blipFill>
      <xdr:spPr>
        <a:xfrm>
          <a:off x="981075" y="53367305"/>
          <a:ext cx="5057775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89" name="ID_B8FC908045F04398807230712F99713D" descr="游民星空"/>
        <xdr:cNvPicPr>
          <a:picLocks noChangeAspect="1"/>
        </xdr:cNvPicPr>
      </xdr:nvPicPr>
      <xdr:blipFill>
        <a:blip r:embed="rId755" r:link="rId2"/>
        <a:stretch>
          <a:fillRect/>
        </a:stretch>
      </xdr:blipFill>
      <xdr:spPr>
        <a:xfrm>
          <a:off x="981075" y="62964060"/>
          <a:ext cx="4972050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0" name="ID_1F4738AFAF0D4ECABBBAD5A701736E6F" descr="游民星空"/>
        <xdr:cNvPicPr>
          <a:picLocks noChangeAspect="1"/>
        </xdr:cNvPicPr>
      </xdr:nvPicPr>
      <xdr:blipFill>
        <a:blip r:embed="rId756" r:link="rId2"/>
        <a:stretch>
          <a:fillRect/>
        </a:stretch>
      </xdr:blipFill>
      <xdr:spPr>
        <a:xfrm>
          <a:off x="981075" y="62792610"/>
          <a:ext cx="4991100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1" name="ID_EB790CED3E7248B69D17F00D3EF98D85" descr="游民星空"/>
        <xdr:cNvPicPr>
          <a:picLocks noChangeAspect="1"/>
        </xdr:cNvPicPr>
      </xdr:nvPicPr>
      <xdr:blipFill>
        <a:blip r:embed="rId757" r:link="rId2"/>
        <a:stretch>
          <a:fillRect/>
        </a:stretch>
      </xdr:blipFill>
      <xdr:spPr>
        <a:xfrm>
          <a:off x="981075" y="62621160"/>
          <a:ext cx="5019675" cy="6800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3" name="ID_B125B14B6E19482FBE534BAF79ECD210" descr="游民星空"/>
        <xdr:cNvPicPr>
          <a:picLocks noChangeAspect="1"/>
        </xdr:cNvPicPr>
      </xdr:nvPicPr>
      <xdr:blipFill>
        <a:blip r:embed="rId758" r:link="rId2"/>
        <a:stretch>
          <a:fillRect/>
        </a:stretch>
      </xdr:blipFill>
      <xdr:spPr>
        <a:xfrm>
          <a:off x="981075" y="62278260"/>
          <a:ext cx="5000625" cy="68294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4" name="ID_85684FDBEE6D4A81BA89379A194B3C41" descr="游民星空"/>
        <xdr:cNvPicPr>
          <a:picLocks noChangeAspect="1"/>
        </xdr:cNvPicPr>
      </xdr:nvPicPr>
      <xdr:blipFill>
        <a:blip r:embed="rId759" r:link="rId2"/>
        <a:stretch>
          <a:fillRect/>
        </a:stretch>
      </xdr:blipFill>
      <xdr:spPr>
        <a:xfrm>
          <a:off x="981075" y="19023330"/>
          <a:ext cx="5019675" cy="68199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5" name="ID_1886777355AA4112B40204FC9CBD0D6E" descr="游民星空"/>
        <xdr:cNvPicPr>
          <a:picLocks noChangeAspect="1"/>
        </xdr:cNvPicPr>
      </xdr:nvPicPr>
      <xdr:blipFill>
        <a:blip r:embed="rId760" r:link="rId2"/>
        <a:stretch>
          <a:fillRect/>
        </a:stretch>
      </xdr:blipFill>
      <xdr:spPr>
        <a:xfrm>
          <a:off x="981075" y="19194780"/>
          <a:ext cx="5000625" cy="6800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6" name="ID_4DA9E6A1E7EC4DD2A982D6F9567897E0" descr="游民星空"/>
        <xdr:cNvPicPr>
          <a:picLocks noChangeAspect="1"/>
        </xdr:cNvPicPr>
      </xdr:nvPicPr>
      <xdr:blipFill>
        <a:blip r:embed="rId761" r:link="rId2"/>
        <a:stretch>
          <a:fillRect/>
        </a:stretch>
      </xdr:blipFill>
      <xdr:spPr>
        <a:xfrm>
          <a:off x="981075" y="19366230"/>
          <a:ext cx="4981575" cy="67627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7" name="ID_57AC8B88C5624C9C82F25A007600E960" descr="游民星空"/>
        <xdr:cNvPicPr>
          <a:picLocks noChangeAspect="1"/>
        </xdr:cNvPicPr>
      </xdr:nvPicPr>
      <xdr:blipFill>
        <a:blip r:embed="rId762" r:link="rId2"/>
        <a:stretch>
          <a:fillRect/>
        </a:stretch>
      </xdr:blipFill>
      <xdr:spPr>
        <a:xfrm>
          <a:off x="981075" y="19537680"/>
          <a:ext cx="4991100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98" name="ID_988B0A435E5F4A1AAFD3650AE850CCBC" descr="游民星空"/>
        <xdr:cNvPicPr>
          <a:picLocks noChangeAspect="1"/>
        </xdr:cNvPicPr>
      </xdr:nvPicPr>
      <xdr:blipFill>
        <a:blip r:embed="rId763" r:link="rId2"/>
        <a:stretch>
          <a:fillRect/>
        </a:stretch>
      </xdr:blipFill>
      <xdr:spPr>
        <a:xfrm>
          <a:off x="981075" y="19709130"/>
          <a:ext cx="4953000" cy="6848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0" name="ID_5B199EC2E871408C8FFDC54B00F70D87" descr="游民星空"/>
        <xdr:cNvPicPr>
          <a:picLocks noChangeAspect="1"/>
        </xdr:cNvPicPr>
      </xdr:nvPicPr>
      <xdr:blipFill>
        <a:blip r:embed="rId764" r:link="rId2"/>
        <a:stretch>
          <a:fillRect/>
        </a:stretch>
      </xdr:blipFill>
      <xdr:spPr>
        <a:xfrm>
          <a:off x="981075" y="20052030"/>
          <a:ext cx="5048250" cy="67818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1" name="ID_AA1F5563B67C4A0498EB5E72F42E86F2" descr="游民星空"/>
        <xdr:cNvPicPr>
          <a:picLocks noChangeAspect="1"/>
        </xdr:cNvPicPr>
      </xdr:nvPicPr>
      <xdr:blipFill>
        <a:blip r:embed="rId765" r:link="rId2"/>
        <a:stretch>
          <a:fillRect/>
        </a:stretch>
      </xdr:blipFill>
      <xdr:spPr>
        <a:xfrm>
          <a:off x="981075" y="20223480"/>
          <a:ext cx="5038725" cy="6848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2" name="ID_466A20D3E7E242ECA4FA1BA8C6313BDF" descr="游民星空"/>
        <xdr:cNvPicPr>
          <a:picLocks noChangeAspect="1"/>
        </xdr:cNvPicPr>
      </xdr:nvPicPr>
      <xdr:blipFill>
        <a:blip r:embed="rId766" r:link="rId2"/>
        <a:stretch>
          <a:fillRect/>
        </a:stretch>
      </xdr:blipFill>
      <xdr:spPr>
        <a:xfrm>
          <a:off x="981075" y="20394930"/>
          <a:ext cx="5000625" cy="6858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3" name="ID_5ACA6C4478E149B5AE0C085FC9F06AC8" descr="游民星空"/>
        <xdr:cNvPicPr>
          <a:picLocks noChangeAspect="1"/>
        </xdr:cNvPicPr>
      </xdr:nvPicPr>
      <xdr:blipFill>
        <a:blip r:embed="rId767" r:link="rId2"/>
        <a:stretch>
          <a:fillRect/>
        </a:stretch>
      </xdr:blipFill>
      <xdr:spPr>
        <a:xfrm>
          <a:off x="981075" y="20566380"/>
          <a:ext cx="5010150" cy="67913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4" name="ID_337B556ADC7B4A1EB9C064634E187A66" descr="游民星空"/>
        <xdr:cNvPicPr>
          <a:picLocks noChangeAspect="1"/>
        </xdr:cNvPicPr>
      </xdr:nvPicPr>
      <xdr:blipFill>
        <a:blip r:embed="rId768" r:link="rId2"/>
        <a:stretch>
          <a:fillRect/>
        </a:stretch>
      </xdr:blipFill>
      <xdr:spPr>
        <a:xfrm>
          <a:off x="981075" y="18851880"/>
          <a:ext cx="5076825" cy="6877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5" name="ID_7AF3C3A9477F42FCB95A2B84FE991F45" descr="游民星空"/>
        <xdr:cNvPicPr>
          <a:picLocks noChangeAspect="1"/>
        </xdr:cNvPicPr>
      </xdr:nvPicPr>
      <xdr:blipFill>
        <a:blip r:embed="rId769" r:link="rId2"/>
        <a:stretch>
          <a:fillRect/>
        </a:stretch>
      </xdr:blipFill>
      <xdr:spPr>
        <a:xfrm>
          <a:off x="981075" y="25763855"/>
          <a:ext cx="4972050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8" name="ID_44FE138A2EB54DB3B1E24271B01C0AED" descr="游民星空"/>
        <xdr:cNvPicPr>
          <a:picLocks noChangeAspect="1"/>
        </xdr:cNvPicPr>
      </xdr:nvPicPr>
      <xdr:blipFill>
        <a:blip r:embed="rId770" r:link="rId2"/>
        <a:stretch>
          <a:fillRect/>
        </a:stretch>
      </xdr:blipFill>
      <xdr:spPr>
        <a:xfrm>
          <a:off x="981075" y="23909020"/>
          <a:ext cx="5019675" cy="6848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09" name="ID_99A4DD64B22543999C55071C4BA257AC" descr="游民星空"/>
        <xdr:cNvPicPr>
          <a:picLocks noChangeAspect="1"/>
        </xdr:cNvPicPr>
      </xdr:nvPicPr>
      <xdr:blipFill>
        <a:blip r:embed="rId771" r:link="rId2"/>
        <a:stretch>
          <a:fillRect/>
        </a:stretch>
      </xdr:blipFill>
      <xdr:spPr>
        <a:xfrm>
          <a:off x="981075" y="23737570"/>
          <a:ext cx="5029200" cy="68199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0" name="ID_4FA758AEF0674A0296C847CA1A5A02BE" descr="游民星空"/>
        <xdr:cNvPicPr>
          <a:picLocks noChangeAspect="1"/>
        </xdr:cNvPicPr>
      </xdr:nvPicPr>
      <xdr:blipFill>
        <a:blip r:embed="rId772" r:link="rId2"/>
        <a:stretch>
          <a:fillRect/>
        </a:stretch>
      </xdr:blipFill>
      <xdr:spPr>
        <a:xfrm>
          <a:off x="981075" y="23566120"/>
          <a:ext cx="5057775" cy="6877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1" name="ID_164657F195484279A1C6E97D531F5174" descr="游民星空"/>
        <xdr:cNvPicPr>
          <a:picLocks noChangeAspect="1"/>
        </xdr:cNvPicPr>
      </xdr:nvPicPr>
      <xdr:blipFill>
        <a:blip r:embed="rId773" r:link="rId2"/>
        <a:stretch>
          <a:fillRect/>
        </a:stretch>
      </xdr:blipFill>
      <xdr:spPr>
        <a:xfrm>
          <a:off x="981075" y="20737830"/>
          <a:ext cx="5095875" cy="68961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2" name="ID_6EC76ACED76A4C62940591759033B82B" descr="游民星空"/>
        <xdr:cNvPicPr>
          <a:picLocks noChangeAspect="1"/>
        </xdr:cNvPicPr>
      </xdr:nvPicPr>
      <xdr:blipFill>
        <a:blip r:embed="rId774" r:link="rId2"/>
        <a:stretch>
          <a:fillRect/>
        </a:stretch>
      </xdr:blipFill>
      <xdr:spPr>
        <a:xfrm>
          <a:off x="981075" y="9601835"/>
          <a:ext cx="4991100" cy="67818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3" name="ID_7156EC8AA8AC413A81FEA444376EEA1D" descr="游民星空"/>
        <xdr:cNvPicPr>
          <a:picLocks noChangeAspect="1"/>
        </xdr:cNvPicPr>
      </xdr:nvPicPr>
      <xdr:blipFill>
        <a:blip r:embed="rId775" r:link="rId2"/>
        <a:stretch>
          <a:fillRect/>
        </a:stretch>
      </xdr:blipFill>
      <xdr:spPr>
        <a:xfrm>
          <a:off x="981075" y="9773285"/>
          <a:ext cx="5029200" cy="68294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5" name="ID_6C35919CDDFA48C493D84308A0205FFA" descr="游民星空"/>
        <xdr:cNvPicPr>
          <a:picLocks noChangeAspect="1"/>
        </xdr:cNvPicPr>
      </xdr:nvPicPr>
      <xdr:blipFill>
        <a:blip r:embed="rId776" r:link="rId2"/>
        <a:stretch>
          <a:fillRect/>
        </a:stretch>
      </xdr:blipFill>
      <xdr:spPr>
        <a:xfrm>
          <a:off x="981075" y="6039485"/>
          <a:ext cx="5029200" cy="68389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6" name="ID_FA40881F8AEE441D89EFC59D24A3AB52" descr="游民星空"/>
        <xdr:cNvPicPr>
          <a:picLocks noChangeAspect="1"/>
        </xdr:cNvPicPr>
      </xdr:nvPicPr>
      <xdr:blipFill>
        <a:blip r:embed="rId777" r:link="rId2"/>
        <a:stretch>
          <a:fillRect/>
        </a:stretch>
      </xdr:blipFill>
      <xdr:spPr>
        <a:xfrm>
          <a:off x="981075" y="1123950"/>
          <a:ext cx="5124450" cy="68199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8" name="ID_E072CEE6CD9343B5B633285C7D5301D7" descr="游民星空"/>
        <xdr:cNvPicPr>
          <a:picLocks noChangeAspect="1"/>
        </xdr:cNvPicPr>
      </xdr:nvPicPr>
      <xdr:blipFill>
        <a:blip r:embed="rId778" r:link="rId2"/>
        <a:stretch>
          <a:fillRect/>
        </a:stretch>
      </xdr:blipFill>
      <xdr:spPr>
        <a:xfrm>
          <a:off x="981075" y="2790190"/>
          <a:ext cx="5143500" cy="6867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9" name="ID_EB9FE8A57A9849A3AC1AF5825511D210" descr="游民星空"/>
        <xdr:cNvPicPr>
          <a:picLocks noChangeAspect="1"/>
        </xdr:cNvPicPr>
      </xdr:nvPicPr>
      <xdr:blipFill>
        <a:blip r:embed="rId779" r:link="rId2"/>
        <a:stretch>
          <a:fillRect/>
        </a:stretch>
      </xdr:blipFill>
      <xdr:spPr>
        <a:xfrm>
          <a:off x="981075" y="2961640"/>
          <a:ext cx="4991100" cy="6848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0" name="ID_48E8653B74434237B3410B928D2ADAED" descr="游民星空"/>
        <xdr:cNvPicPr>
          <a:picLocks noChangeAspect="1"/>
        </xdr:cNvPicPr>
      </xdr:nvPicPr>
      <xdr:blipFill>
        <a:blip r:embed="rId780" r:link="rId2"/>
        <a:stretch>
          <a:fillRect/>
        </a:stretch>
      </xdr:blipFill>
      <xdr:spPr>
        <a:xfrm>
          <a:off x="981075" y="952500"/>
          <a:ext cx="5010150" cy="69151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1" name="ID_B577A3A5BD7B4C8692A9D0CD413DBFDA" descr="游民星空"/>
        <xdr:cNvPicPr>
          <a:picLocks noChangeAspect="1"/>
        </xdr:cNvPicPr>
      </xdr:nvPicPr>
      <xdr:blipFill>
        <a:blip r:embed="rId781" r:link="rId2"/>
        <a:stretch>
          <a:fillRect/>
        </a:stretch>
      </xdr:blipFill>
      <xdr:spPr>
        <a:xfrm>
          <a:off x="981075" y="23416895"/>
          <a:ext cx="4953000" cy="67722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2" name="ID_84E3E47FE0A44B60A9EF1EC885A18C3E" descr="游民星空"/>
        <xdr:cNvPicPr>
          <a:picLocks noChangeAspect="1"/>
        </xdr:cNvPicPr>
      </xdr:nvPicPr>
      <xdr:blipFill>
        <a:blip r:embed="rId782" r:link="rId2"/>
        <a:stretch>
          <a:fillRect/>
        </a:stretch>
      </xdr:blipFill>
      <xdr:spPr>
        <a:xfrm>
          <a:off x="981075" y="39316025"/>
          <a:ext cx="5019675" cy="68199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4" name="ID_82F6ABAFFE594DADB10E0BE0D62DD6FB" descr="游民星空"/>
        <xdr:cNvPicPr>
          <a:picLocks noChangeAspect="1"/>
        </xdr:cNvPicPr>
      </xdr:nvPicPr>
      <xdr:blipFill>
        <a:blip r:embed="rId783" r:link="rId2"/>
        <a:stretch>
          <a:fillRect/>
        </a:stretch>
      </xdr:blipFill>
      <xdr:spPr>
        <a:xfrm>
          <a:off x="981075" y="48633380"/>
          <a:ext cx="5067300" cy="68008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5" name="ID_FC290E73239A427AABEC9276B679474E" descr="游民星空"/>
        <xdr:cNvPicPr>
          <a:picLocks noChangeAspect="1"/>
        </xdr:cNvPicPr>
      </xdr:nvPicPr>
      <xdr:blipFill>
        <a:blip r:embed="rId784" r:link="rId2"/>
        <a:stretch>
          <a:fillRect/>
        </a:stretch>
      </xdr:blipFill>
      <xdr:spPr>
        <a:xfrm>
          <a:off x="981075" y="51268630"/>
          <a:ext cx="5019675" cy="68770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6" name="ID_0E16824C7BC24922A048674700DE7683" descr="游民星空"/>
        <xdr:cNvPicPr>
          <a:picLocks noChangeAspect="1"/>
        </xdr:cNvPicPr>
      </xdr:nvPicPr>
      <xdr:blipFill>
        <a:blip r:embed="rId785" r:link="rId2"/>
        <a:stretch>
          <a:fillRect/>
        </a:stretch>
      </xdr:blipFill>
      <xdr:spPr>
        <a:xfrm>
          <a:off x="981075" y="68547615"/>
          <a:ext cx="5086350" cy="6858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7" name="ID_6EC117677C784F60A31492892B4A6CC8" descr="游民星空"/>
        <xdr:cNvPicPr>
          <a:picLocks noChangeAspect="1"/>
        </xdr:cNvPicPr>
      </xdr:nvPicPr>
      <xdr:blipFill>
        <a:blip r:embed="rId786" r:link="rId2"/>
        <a:stretch>
          <a:fillRect/>
        </a:stretch>
      </xdr:blipFill>
      <xdr:spPr>
        <a:xfrm>
          <a:off x="981075" y="74022585"/>
          <a:ext cx="5010150" cy="6848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8" name="ID_C5A08DB6F3FE4236B061AE629EF8CB9A" descr="游民星空"/>
        <xdr:cNvPicPr>
          <a:picLocks noChangeAspect="1"/>
        </xdr:cNvPicPr>
      </xdr:nvPicPr>
      <xdr:blipFill>
        <a:blip r:embed="rId787" r:link="rId2"/>
        <a:stretch>
          <a:fillRect/>
        </a:stretch>
      </xdr:blipFill>
      <xdr:spPr>
        <a:xfrm>
          <a:off x="981075" y="73851135"/>
          <a:ext cx="5029200" cy="68199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9" name="ID_BF5CE292003D4F5699949D8E0459182A" descr="游民星空"/>
        <xdr:cNvPicPr>
          <a:picLocks noChangeAspect="1"/>
        </xdr:cNvPicPr>
      </xdr:nvPicPr>
      <xdr:blipFill>
        <a:blip r:embed="rId788" r:link="rId2"/>
        <a:stretch>
          <a:fillRect/>
        </a:stretch>
      </xdr:blipFill>
      <xdr:spPr>
        <a:xfrm>
          <a:off x="981075" y="76501625"/>
          <a:ext cx="4972050" cy="67722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30" name="ID_DB9A61037D5248D993C9F86D5B9E76E6" descr="游民星空"/>
        <xdr:cNvPicPr>
          <a:picLocks noChangeAspect="1"/>
        </xdr:cNvPicPr>
      </xdr:nvPicPr>
      <xdr:blipFill>
        <a:blip r:embed="rId789" r:link="rId2"/>
        <a:stretch>
          <a:fillRect/>
        </a:stretch>
      </xdr:blipFill>
      <xdr:spPr>
        <a:xfrm>
          <a:off x="981075" y="85752305"/>
          <a:ext cx="4905375" cy="66484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31" name="ID_22BB6FEAF09C4FD38A8542B230006983" descr="游民星空"/>
        <xdr:cNvPicPr>
          <a:picLocks noChangeAspect="1"/>
        </xdr:cNvPicPr>
      </xdr:nvPicPr>
      <xdr:blipFill>
        <a:blip r:embed="rId790" r:link="rId2"/>
        <a:stretch>
          <a:fillRect/>
        </a:stretch>
      </xdr:blipFill>
      <xdr:spPr>
        <a:xfrm>
          <a:off x="981075" y="89861390"/>
          <a:ext cx="4972050" cy="664845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32" name="ID_78A130A159A240D3A6A9CAFF5D01D79C" descr="游民星空"/>
        <xdr:cNvPicPr>
          <a:picLocks noChangeAspect="1"/>
        </xdr:cNvPicPr>
      </xdr:nvPicPr>
      <xdr:blipFill>
        <a:blip r:embed="rId791" r:link="rId2"/>
        <a:stretch>
          <a:fillRect/>
        </a:stretch>
      </xdr:blipFill>
      <xdr:spPr>
        <a:xfrm>
          <a:off x="981075" y="3591560"/>
          <a:ext cx="5057775" cy="684847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33" name="ID_645A3E7A4900433C8E73B90AAB118E56" descr="游民星空"/>
        <xdr:cNvPicPr>
          <a:picLocks noChangeAspect="1"/>
        </xdr:cNvPicPr>
      </xdr:nvPicPr>
      <xdr:blipFill>
        <a:blip r:embed="rId792" r:link="rId2"/>
        <a:stretch>
          <a:fillRect/>
        </a:stretch>
      </xdr:blipFill>
      <xdr:spPr>
        <a:xfrm>
          <a:off x="981075" y="11512550"/>
          <a:ext cx="5038725" cy="6858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34" name="ID_B8AF8356E6624F7E9E8CC2087AF65AAA" descr="游民星空"/>
        <xdr:cNvPicPr>
          <a:picLocks noChangeAspect="1"/>
        </xdr:cNvPicPr>
      </xdr:nvPicPr>
      <xdr:blipFill>
        <a:blip r:embed="rId793" r:link="rId2"/>
        <a:stretch>
          <a:fillRect/>
        </a:stretch>
      </xdr:blipFill>
      <xdr:spPr>
        <a:xfrm>
          <a:off x="981075" y="38002210"/>
          <a:ext cx="5019675" cy="6858000"/>
        </a:xfrm>
        <a:prstGeom prst="rect">
          <a:avLst/>
        </a:prstGeom>
        <a:noFill/>
        <a:ln>
          <a:noFill/>
        </a:ln>
      </xdr:spPr>
    </xdr:pic>
  </etc:cellImage>
</etc:cellImages>
</file>

<file path=xl/sharedStrings.xml><?xml version="1.0" encoding="utf-8"?>
<sst xmlns="http://schemas.openxmlformats.org/spreadsheetml/2006/main" count="3985" uniqueCount="1370">
  <si>
    <t>名称</t>
  </si>
  <si>
    <t>图像</t>
  </si>
  <si>
    <t>类型</t>
  </si>
  <si>
    <t>攻击力
物理</t>
  </si>
  <si>
    <t>攻击力
魔力</t>
  </si>
  <si>
    <t>攻击力
火</t>
  </si>
  <si>
    <t>攻击力
雷</t>
  </si>
  <si>
    <t>攻击力
暗</t>
  </si>
  <si>
    <t>攻击力
致命一击</t>
  </si>
  <si>
    <t>魔法威力修正</t>
  </si>
  <si>
    <t>魔法威力修正（理和信最大值时）</t>
  </si>
  <si>
    <t>减伤率
物理</t>
  </si>
  <si>
    <t>减伤率
魔力</t>
  </si>
  <si>
    <t>减伤率
火</t>
  </si>
  <si>
    <t>减伤率
雷</t>
  </si>
  <si>
    <t>减伤率
暗</t>
  </si>
  <si>
    <t>减伤率
抵挡力</t>
  </si>
  <si>
    <t>特殊效果
血</t>
  </si>
  <si>
    <t>特殊效果
毒</t>
  </si>
  <si>
    <t>特殊效果
冷</t>
  </si>
  <si>
    <t>能力加成
力气</t>
  </si>
  <si>
    <t>能力加成
敏捷</t>
  </si>
  <si>
    <t>能力加成
智力</t>
  </si>
  <si>
    <t>能力加成
信仰</t>
  </si>
  <si>
    <t>必要能力
力气</t>
  </si>
  <si>
    <t>必要能力
敏捷</t>
  </si>
  <si>
    <t>必要能力
智力</t>
  </si>
  <si>
    <t>必要能力
信仰</t>
  </si>
  <si>
    <t>战技</t>
  </si>
  <si>
    <t>消耗专注值</t>
  </si>
  <si>
    <t>重量</t>
  </si>
  <si>
    <t>耐久度</t>
  </si>
  <si>
    <t>魔法师杖</t>
  </si>
  <si>
    <t>杖</t>
  </si>
  <si>
    <t>E</t>
  </si>
  <si>
    <t>-</t>
  </si>
  <si>
    <t>B</t>
  </si>
  <si>
    <t>增幅咏唱</t>
  </si>
  <si>
    <t>7(-/-)</t>
  </si>
  <si>
    <t>说书人杖</t>
  </si>
  <si>
    <t>毒孢子</t>
  </si>
  <si>
    <t>20(-/-)</t>
  </si>
  <si>
    <t>托钵杖</t>
  </si>
  <si>
    <t>D</t>
  </si>
  <si>
    <t>蛆人杖</t>
  </si>
  <si>
    <t>大主教的大杖</t>
  </si>
  <si>
    <t>A</t>
  </si>
  <si>
    <t>老者结晶杖</t>
  </si>
  <si>
    <t>30(-/-)</t>
  </si>
  <si>
    <t>异端杖</t>
  </si>
  <si>
    <t>宫廷魔法师杖</t>
  </si>
  <si>
    <t>15(-/-)</t>
  </si>
  <si>
    <t>妖树枝条</t>
  </si>
  <si>
    <t>C</t>
  </si>
  <si>
    <t>伊札里斯杖</t>
  </si>
  <si>
    <t>濡湿长柄杖</t>
  </si>
  <si>
    <t>源自幽邃的咏唱</t>
  </si>
  <si>
    <t>说客右臂</t>
  </si>
  <si>
    <t>食粮树枝</t>
  </si>
  <si>
    <t>5(-/-)</t>
  </si>
  <si>
    <t>咒术之火</t>
  </si>
  <si>
    <t>引燃火焰</t>
  </si>
  <si>
    <t>12(-/-)</t>
  </si>
  <si>
    <t>咒术送灵火</t>
  </si>
  <si>
    <t>送灵火</t>
  </si>
  <si>
    <t>25(-/-)</t>
  </si>
  <si>
    <t>护符</t>
  </si>
  <si>
    <t>坚定祈祷</t>
  </si>
  <si>
    <t>8(-/-)</t>
  </si>
  <si>
    <t>太阳护符</t>
  </si>
  <si>
    <t>9(-/-)</t>
  </si>
  <si>
    <t>粗布护符</t>
  </si>
  <si>
    <t>薄暮护符</t>
  </si>
  <si>
    <t>圣女护符</t>
  </si>
  <si>
    <t>白发护符</t>
  </si>
  <si>
    <t>11(-/-)</t>
  </si>
  <si>
    <t>幽儿希卡圣铃</t>
  </si>
  <si>
    <t>圣铃</t>
  </si>
  <si>
    <t>祈求恩惠</t>
  </si>
  <si>
    <t>13(-/-)</t>
  </si>
  <si>
    <t>圣职圣铃</t>
  </si>
  <si>
    <t>祭司圣铃</t>
  </si>
  <si>
    <t>神木铃草</t>
  </si>
  <si>
    <t>夸特铃铛</t>
  </si>
  <si>
    <t>结晶圣铃</t>
  </si>
  <si>
    <t>费莲诺尔圣铃</t>
  </si>
  <si>
    <t>祈求恩泽</t>
  </si>
  <si>
    <t>18(-/-)</t>
  </si>
  <si>
    <t>射程</t>
  </si>
  <si>
    <t>最大持有</t>
  </si>
  <si>
    <t>普通箭</t>
  </si>
  <si>
    <t>弓箭</t>
  </si>
  <si>
    <t>火箭</t>
  </si>
  <si>
    <t>毒箭</t>
  </si>
  <si>
    <t>大箭</t>
  </si>
  <si>
    <t>短</t>
  </si>
  <si>
    <t>羽毛箭</t>
  </si>
  <si>
    <t>长</t>
  </si>
  <si>
    <t>月光箭</t>
  </si>
  <si>
    <t>木箭</t>
  </si>
  <si>
    <t>暗箭</t>
  </si>
  <si>
    <t>猎龙大箭</t>
  </si>
  <si>
    <t>猎龙雷箭</t>
  </si>
  <si>
    <t>伐鬼大箭</t>
  </si>
  <si>
    <t>米尔伍德大箭</t>
  </si>
  <si>
    <t>普通弩箭</t>
  </si>
  <si>
    <t>弩箭</t>
  </si>
  <si>
    <t>重弩箭</t>
  </si>
  <si>
    <t>狙击弩箭</t>
  </si>
  <si>
    <t>木弩箭</t>
  </si>
  <si>
    <t>雷弩箭</t>
  </si>
  <si>
    <t>破裂弩箭</t>
  </si>
  <si>
    <t>爆裂弩箭</t>
  </si>
  <si>
    <t>短弓</t>
  </si>
  <si>
    <t>弓</t>
  </si>
  <si>
    <t>7(5)</t>
  </si>
  <si>
    <t>连续射击</t>
  </si>
  <si>
    <t>复合弓</t>
  </si>
  <si>
    <t>12(8)</t>
  </si>
  <si>
    <t>长弓</t>
  </si>
  <si>
    <t>9(6)</t>
  </si>
  <si>
    <t>强力射击</t>
  </si>
  <si>
    <t>龙骑兵弓</t>
  </si>
  <si>
    <t>19(13)</t>
  </si>
  <si>
    <t>暗月长弓</t>
  </si>
  <si>
    <t>暗月箭</t>
  </si>
  <si>
    <t>法里斯弓</t>
  </si>
  <si>
    <t>法里斯三射</t>
  </si>
  <si>
    <t>白树弓</t>
  </si>
  <si>
    <t>隐形箭</t>
  </si>
  <si>
    <t>猎龙大弓</t>
  </si>
  <si>
    <t>大弓</t>
  </si>
  <si>
    <t>20(14)</t>
  </si>
  <si>
    <t>贯穿射击</t>
  </si>
  <si>
    <t>伐鬼大弓</t>
  </si>
  <si>
    <t>18(12)</t>
  </si>
  <si>
    <t>米尔伍德大弓</t>
  </si>
  <si>
    <t>28(19)</t>
  </si>
  <si>
    <t>地面射击</t>
  </si>
  <si>
    <t>轻弩</t>
  </si>
  <si>
    <t>弩</t>
  </si>
  <si>
    <t>撞击</t>
  </si>
  <si>
    <t>亚伯里斯</t>
  </si>
  <si>
    <t>雅帆琳</t>
  </si>
  <si>
    <t>骑士弩</t>
  </si>
  <si>
    <t>重弩</t>
  </si>
  <si>
    <t>狙击弩</t>
  </si>
  <si>
    <t>连射弩</t>
  </si>
  <si>
    <t>灯火连射</t>
  </si>
  <si>
    <t>火把</t>
  </si>
  <si>
    <t>-(-/-)</t>
  </si>
  <si>
    <t>幽魂火把</t>
  </si>
  <si>
    <t>吐火</t>
  </si>
  <si>
    <t>匕首</t>
  </si>
  <si>
    <t>短剑</t>
  </si>
  <si>
    <t>碎步</t>
  </si>
  <si>
    <t>盗贼短刀</t>
  </si>
  <si>
    <t>格挡匕首</t>
  </si>
  <si>
    <t>格挡</t>
  </si>
  <si>
    <t>咕鲁腐败短刀</t>
  </si>
  <si>
    <t>镰刀剑</t>
  </si>
  <si>
    <t>贤者烛台</t>
  </si>
  <si>
    <t>引导的灯火</t>
  </si>
  <si>
    <t>尾骨短剑</t>
  </si>
  <si>
    <t>龙的力量</t>
  </si>
  <si>
    <t>鸦人大短刀</t>
  </si>
  <si>
    <t>死角一击</t>
  </si>
  <si>
    <t>10(-/-)</t>
  </si>
  <si>
    <t>侍女短剑</t>
  </si>
  <si>
    <t>破甲细剑</t>
  </si>
  <si>
    <t>贯穿</t>
  </si>
  <si>
    <t>成对山贼短刀</t>
  </si>
  <si>
    <t>蓝宝珠短剑</t>
  </si>
  <si>
    <t>结晶刀刃</t>
  </si>
  <si>
    <t>8(2/3)</t>
  </si>
  <si>
    <t>濡湿小镰刀</t>
  </si>
  <si>
    <t>直剑</t>
  </si>
  <si>
    <t>准备攻击</t>
  </si>
  <si>
    <t>长剑</t>
  </si>
  <si>
    <t>阔剑</t>
  </si>
  <si>
    <t>已折断的直剑</t>
  </si>
  <si>
    <t>洛斯里克骑士剑</t>
  </si>
  <si>
    <t>太阳直剑</t>
  </si>
  <si>
    <t>太阳誓言</t>
  </si>
  <si>
    <t>40(-/-)</t>
  </si>
  <si>
    <t>伊鲁席尔直剑</t>
  </si>
  <si>
    <t>圣者烛台</t>
  </si>
  <si>
    <t>摩利安刃剑</t>
  </si>
  <si>
    <t>亚斯特拉直剑</t>
  </si>
  <si>
    <t>刺针直剑</t>
  </si>
  <si>
    <t>安里的直剑</t>
  </si>
  <si>
    <t>(17/20)</t>
  </si>
  <si>
    <t>黑暗剑</t>
  </si>
  <si>
    <t>箭步</t>
  </si>
  <si>
    <t>13(-/13)</t>
  </si>
  <si>
    <t>洛斯里克圣剑</t>
  </si>
  <si>
    <t>洛斯里克的圣光</t>
  </si>
  <si>
    <t>歌德希尔特对剑</t>
  </si>
  <si>
    <t>回旋斩</t>
  </si>
  <si>
    <t>5(-/17)</t>
  </si>
  <si>
    <t>果敢心</t>
  </si>
  <si>
    <t>狮子的攻势</t>
  </si>
  <si>
    <t>环印骑士直剑</t>
  </si>
  <si>
    <t>余火</t>
  </si>
  <si>
    <t>处刑者大剑</t>
  </si>
  <si>
    <t>大剑</t>
  </si>
  <si>
    <t>12(-/17)</t>
  </si>
  <si>
    <t>混种大剑</t>
  </si>
  <si>
    <t>12(-/15)</t>
  </si>
  <si>
    <t>焰形大剑</t>
  </si>
  <si>
    <t>制裁大剑</t>
  </si>
  <si>
    <t>制裁架势</t>
  </si>
  <si>
    <t>黑骑士剑</t>
  </si>
  <si>
    <t>忍耐</t>
  </si>
  <si>
    <t>孪生王子大剑</t>
  </si>
  <si>
    <t>圣光与火焰</t>
  </si>
  <si>
    <t>沃尼尔圣剑</t>
  </si>
  <si>
    <t>神怒</t>
  </si>
  <si>
    <t>狼骑士大剑</t>
  </si>
  <si>
    <t>狼剑术</t>
  </si>
  <si>
    <t>猎杀游魂大剑</t>
  </si>
  <si>
    <t>月光大剑</t>
  </si>
  <si>
    <t>月光激流</t>
  </si>
  <si>
    <t>龙血大剑</t>
  </si>
  <si>
    <t>传火大剑</t>
  </si>
  <si>
    <t>风暴管束者</t>
  </si>
  <si>
    <t>风暴之王</t>
  </si>
  <si>
    <t>缟玛瑙刃剑</t>
  </si>
  <si>
    <t>艾尔芙莉德的黑焰</t>
  </si>
  <si>
    <t>19(-/-)</t>
  </si>
  <si>
    <t>盖尔大剑</t>
  </si>
  <si>
    <t>舍身剑</t>
  </si>
  <si>
    <t>8(17/17)</t>
  </si>
  <si>
    <t>双手巨剑</t>
  </si>
  <si>
    <t>特大剑</t>
  </si>
  <si>
    <t>10(-/15)</t>
  </si>
  <si>
    <t>巨剑</t>
  </si>
  <si>
    <t>10(-/20)</t>
  </si>
  <si>
    <t>亚斯特拉大剑</t>
  </si>
  <si>
    <t>突击</t>
  </si>
  <si>
    <t>洛斯里克骑士大剑</t>
  </si>
  <si>
    <t>黑骑士大剑</t>
  </si>
  <si>
    <t>10(-/16)</t>
  </si>
  <si>
    <t>罪业大剑</t>
  </si>
  <si>
    <t>罪业火焰</t>
  </si>
  <si>
    <t>10(-/17)</t>
  </si>
  <si>
    <t>教堂骑士大剑</t>
  </si>
  <si>
    <t>法兰大剑</t>
  </si>
  <si>
    <t>洛里安大剑</t>
  </si>
  <si>
    <t>洛里安的火焰</t>
  </si>
  <si>
    <t>10(-/18)</t>
  </si>
  <si>
    <t>漫烟特大剑</t>
  </si>
  <si>
    <t>环印骑士成对大剑</t>
  </si>
  <si>
    <t>15(12/12)</t>
  </si>
  <si>
    <t>咕鲁腐败曲刀</t>
  </si>
  <si>
    <t>曲剑</t>
  </si>
  <si>
    <t>6(-/12)</t>
  </si>
  <si>
    <t>钩剑</t>
  </si>
  <si>
    <t>5(-/12)</t>
  </si>
  <si>
    <t>短弯刀</t>
  </si>
  <si>
    <t>4(-/12)</t>
  </si>
  <si>
    <t>弯刃大刀</t>
  </si>
  <si>
    <t>卡萨斯曲刀</t>
  </si>
  <si>
    <t>教宗骑士曲剑</t>
  </si>
  <si>
    <t>寒气刀刃</t>
  </si>
  <si>
    <t>8(-/14)</t>
  </si>
  <si>
    <t>风暴曲剑</t>
  </si>
  <si>
    <t>龙卷风</t>
  </si>
  <si>
    <t>7(-/15)</t>
  </si>
  <si>
    <t>绘画使者曲剑</t>
  </si>
  <si>
    <t>舞动连击</t>
  </si>
  <si>
    <t>5(-/15)</t>
  </si>
  <si>
    <t>月牙曲剑</t>
  </si>
  <si>
    <t>月牙刀刃</t>
  </si>
  <si>
    <t>卡萨斯钩剑</t>
  </si>
  <si>
    <t>佣兵对刀</t>
  </si>
  <si>
    <t>守墓人对刀</t>
  </si>
  <si>
    <t>7(-/9)</t>
  </si>
  <si>
    <t>成对舞娘魔剑</t>
  </si>
  <si>
    <t>舞娘之舞</t>
  </si>
  <si>
    <t>6(-/17)</t>
  </si>
  <si>
    <t>幽魂军刀</t>
  </si>
  <si>
    <t>溃防连击</t>
  </si>
  <si>
    <t>9(-/9)</t>
  </si>
  <si>
    <t>恶魔爪痕</t>
  </si>
  <si>
    <t>7(-/20)</t>
  </si>
  <si>
    <t>卡萨斯大曲刀</t>
  </si>
  <si>
    <t>大曲剑</t>
  </si>
  <si>
    <t>9(-/13)</t>
  </si>
  <si>
    <t>丛云</t>
  </si>
  <si>
    <t>9(-/15)</t>
  </si>
  <si>
    <t>流放者大刀</t>
  </si>
  <si>
    <t>12(-/13)</t>
  </si>
  <si>
    <t>老狼曲剑</t>
  </si>
  <si>
    <t>狼跳跃</t>
  </si>
  <si>
    <t>哈兰得大曲剑</t>
  </si>
  <si>
    <t>斩断</t>
  </si>
  <si>
    <t>9(20/9)</t>
  </si>
  <si>
    <t>刺剑</t>
  </si>
  <si>
    <t>14(-/-)</t>
  </si>
  <si>
    <t>细剑</t>
  </si>
  <si>
    <t>里卡尔刺剑</t>
  </si>
  <si>
    <t>里卡尔连击</t>
  </si>
  <si>
    <t>12(-/8)</t>
  </si>
  <si>
    <t>结晶老者刺剑</t>
  </si>
  <si>
    <t>伊鲁席尔刺剑</t>
  </si>
  <si>
    <t>鸦羽</t>
  </si>
  <si>
    <t>掷羽</t>
  </si>
  <si>
    <t>7(-/8)</t>
  </si>
  <si>
    <t>打刀</t>
  </si>
  <si>
    <t>刀</t>
  </si>
  <si>
    <t>居合</t>
  </si>
  <si>
    <t>晾衣长刀</t>
  </si>
  <si>
    <t>混沌刀刃</t>
  </si>
  <si>
    <t>黑刀</t>
  </si>
  <si>
    <t>血癫狂</t>
  </si>
  <si>
    <t>暗胧</t>
  </si>
  <si>
    <t>鬼切与姥断</t>
  </si>
  <si>
    <t>鬼切</t>
  </si>
  <si>
    <t>破碎刀</t>
  </si>
  <si>
    <t>手斧</t>
  </si>
  <si>
    <t>斧</t>
  </si>
  <si>
    <t>战吼</t>
  </si>
  <si>
    <t>战斧</t>
  </si>
  <si>
    <t>山贼斧</t>
  </si>
  <si>
    <t>切肉菜刀</t>
  </si>
  <si>
    <t>磨刀</t>
  </si>
  <si>
    <t>屠龙斧</t>
  </si>
  <si>
    <t>奴隶手斧</t>
  </si>
  <si>
    <t>艾莲诺拉</t>
  </si>
  <si>
    <t>食粮钟</t>
  </si>
  <si>
    <t>24(-/-)</t>
  </si>
  <si>
    <t>蛇人柴刀</t>
  </si>
  <si>
    <t>羽翼骑士断头斧</t>
  </si>
  <si>
    <t>连续回转</t>
  </si>
  <si>
    <t>8(-/17)</t>
  </si>
  <si>
    <t>米尔伍德战斧</t>
  </si>
  <si>
    <t>尤姆大柴刀</t>
  </si>
  <si>
    <t>大斧</t>
  </si>
  <si>
    <t>巨斧</t>
  </si>
  <si>
    <t>猎龙大斧</t>
  </si>
  <si>
    <t>落雷</t>
  </si>
  <si>
    <t>35(-/-)</t>
  </si>
  <si>
    <t>恶魔大斧</t>
  </si>
  <si>
    <t>恶魔一击</t>
  </si>
  <si>
    <t>黑骑士大斧</t>
  </si>
  <si>
    <t>大柴刀</t>
  </si>
  <si>
    <t>追地者</t>
  </si>
  <si>
    <t>大地震怒</t>
  </si>
  <si>
    <t>棍棒</t>
  </si>
  <si>
    <t>锤</t>
  </si>
  <si>
    <t>锤矛</t>
  </si>
  <si>
    <t>朝星锤</t>
  </si>
  <si>
    <t>强化棍棒</t>
  </si>
  <si>
    <t>海泽儿的十字镐</t>
  </si>
  <si>
    <t>战镐</t>
  </si>
  <si>
    <t>一鼓作气</t>
  </si>
  <si>
    <t>铁匠铁锤</t>
  </si>
  <si>
    <t>多兰对槌</t>
  </si>
  <si>
    <t>回旋殴击</t>
  </si>
  <si>
    <t>大型棍棒</t>
  </si>
  <si>
    <t>大锤</t>
  </si>
  <si>
    <t>巨型棍棒</t>
  </si>
  <si>
    <t>巨型锤矛</t>
  </si>
  <si>
    <t>大木槌</t>
  </si>
  <si>
    <t>13(-/10)</t>
  </si>
  <si>
    <t>石像鬼灯火槌</t>
  </si>
  <si>
    <t>玻尔多大锤</t>
  </si>
  <si>
    <t>老王大槌</t>
  </si>
  <si>
    <t>忍耐岩浆</t>
  </si>
  <si>
    <t>十字镐</t>
  </si>
  <si>
    <t>大龙牙</t>
  </si>
  <si>
    <t>斯摩的锤子</t>
  </si>
  <si>
    <t>摩恩大锤</t>
  </si>
  <si>
    <t>摩恩之怒</t>
  </si>
  <si>
    <t>50(-/-)</t>
  </si>
  <si>
    <t>尖刺锤矛</t>
  </si>
  <si>
    <t>地鸣岩槌</t>
  </si>
  <si>
    <t>地鸣</t>
  </si>
  <si>
    <t>12(-/10)</t>
  </si>
  <si>
    <t>雷多大锤</t>
  </si>
  <si>
    <t>唤岩</t>
  </si>
  <si>
    <t>25(-/25)</t>
  </si>
  <si>
    <t>枪</t>
  </si>
  <si>
    <t>16(-/-)</t>
  </si>
  <si>
    <t>雁翅枪</t>
  </si>
  <si>
    <t>13(-/9)</t>
  </si>
  <si>
    <t>游击枪</t>
  </si>
  <si>
    <t>回转斩击</t>
  </si>
  <si>
    <t>11(-/11)</t>
  </si>
  <si>
    <t>四齿钉耙</t>
  </si>
  <si>
    <t>石像鬼灯火枪</t>
  </si>
  <si>
    <t>灯火突击</t>
  </si>
  <si>
    <t>13(-/15)</t>
  </si>
  <si>
    <t>咕鲁腐败枪</t>
  </si>
  <si>
    <t>尾骨枪</t>
  </si>
  <si>
    <t>烙铁</t>
  </si>
  <si>
    <t>猎龙剑枪</t>
  </si>
  <si>
    <t>阿尔斯特枪</t>
  </si>
  <si>
    <t>圣者双叉枪</t>
  </si>
  <si>
    <t>幽儿希卡枪</t>
  </si>
  <si>
    <t>催眠</t>
  </si>
  <si>
    <t>四齿钉耙（删减内容）</t>
  </si>
  <si>
    <t>猎龙枪</t>
  </si>
  <si>
    <t>雷电突击</t>
  </si>
  <si>
    <t>17(-/12)</t>
  </si>
  <si>
    <t>金枝杖枪</t>
  </si>
  <si>
    <t>多兰对枪</t>
  </si>
  <si>
    <t>幽魂投枪</t>
  </si>
  <si>
    <t>掷枪</t>
  </si>
  <si>
    <t>巨骑枪</t>
  </si>
  <si>
    <t>长枪</t>
  </si>
  <si>
    <t>15(-/15)</t>
  </si>
  <si>
    <t>洛斯里克骑士长枪</t>
  </si>
  <si>
    <t>矛</t>
  </si>
  <si>
    <t>环印骑士枪</t>
  </si>
  <si>
    <t>洛斯里克军旗</t>
  </si>
  <si>
    <t>弦月斧</t>
  </si>
  <si>
    <t>斧枪</t>
  </si>
  <si>
    <t>鹤嘴戟</t>
  </si>
  <si>
    <t>剑刃戟</t>
  </si>
  <si>
    <t>戟</t>
  </si>
  <si>
    <t>15(-/13)</t>
  </si>
  <si>
    <t>羽翼骑士戟</t>
  </si>
  <si>
    <t>古达的戟</t>
  </si>
  <si>
    <t>英雄突击</t>
  </si>
  <si>
    <t>红柄戟</t>
  </si>
  <si>
    <t>黑骑士剑刃戟</t>
  </si>
  <si>
    <t>火刑光芒</t>
  </si>
  <si>
    <t>火刑</t>
  </si>
  <si>
    <t>狂王磔枪</t>
  </si>
  <si>
    <t>随兴狂王</t>
  </si>
  <si>
    <t>-(-/17)</t>
  </si>
  <si>
    <t>半叶大刀</t>
  </si>
  <si>
    <t>轮旋斩</t>
  </si>
  <si>
    <t>大镰刀</t>
  </si>
  <si>
    <t>镰</t>
  </si>
  <si>
    <t>猎首</t>
  </si>
  <si>
    <t>教宗骑士大镰刀</t>
  </si>
  <si>
    <t>鸦人大镰刀</t>
  </si>
  <si>
    <t>芙莉德大镰刀</t>
  </si>
  <si>
    <t>艾尔芙莉德的攻势</t>
  </si>
  <si>
    <t>-(-/18)</t>
  </si>
  <si>
    <t>软鞭</t>
  </si>
  <si>
    <t>鞭</t>
  </si>
  <si>
    <t>痛击</t>
  </si>
  <si>
    <t>魔女黑发</t>
  </si>
  <si>
    <t>火焰鞭</t>
  </si>
  <si>
    <t>荆棘软鞭</t>
  </si>
  <si>
    <t>斑斓鞭</t>
  </si>
  <si>
    <t>艾雷德尔蔷薇</t>
  </si>
  <si>
    <t>觉醒</t>
  </si>
  <si>
    <t>钩爪</t>
  </si>
  <si>
    <t>爪</t>
  </si>
  <si>
    <t>猿猴斩</t>
  </si>
  <si>
    <t>傀儡钩爪</t>
  </si>
  <si>
    <t>4(-/-)</t>
  </si>
  <si>
    <t>鸦爪</t>
  </si>
  <si>
    <t>猛禽连击</t>
  </si>
  <si>
    <t>护手带</t>
  </si>
  <si>
    <t>拳</t>
  </si>
  <si>
    <t>恶魔指虎</t>
  </si>
  <si>
    <t>火焰尾</t>
  </si>
  <si>
    <t>10(-/10)</t>
  </si>
  <si>
    <t>黑暗之手</t>
  </si>
  <si>
    <t>吸魂</t>
  </si>
  <si>
    <t>攻击力-物理</t>
  </si>
  <si>
    <t>攻击力-魔力</t>
  </si>
  <si>
    <t>攻击力-火</t>
  </si>
  <si>
    <t>攻击力-雷</t>
  </si>
  <si>
    <t>攻击力-暗</t>
  </si>
  <si>
    <t>攻击力-致命一击</t>
  </si>
  <si>
    <t>防御减伤率-物理</t>
  </si>
  <si>
    <t>防御减伤率-魔力</t>
  </si>
  <si>
    <t>防御减伤率-火</t>
  </si>
  <si>
    <t>防御减伤率-雷</t>
  </si>
  <si>
    <t>防御减伤率-暗</t>
  </si>
  <si>
    <t>防御减伤率-抵挡力</t>
  </si>
  <si>
    <t>特殊效果-血</t>
  </si>
  <si>
    <t>特殊效果-毒</t>
  </si>
  <si>
    <t>特殊效果-冷</t>
  </si>
  <si>
    <t>能力加成-力气</t>
  </si>
  <si>
    <t>能力加成-敏捷</t>
  </si>
  <si>
    <t>能力加成-智力</t>
  </si>
  <si>
    <t>能力加成-信仰</t>
  </si>
  <si>
    <t>必要能力值-力气</t>
  </si>
  <si>
    <t>必要能力值-敏捷</t>
  </si>
  <si>
    <t>必要能力值-智力</t>
  </si>
  <si>
    <t>必要能力值-信仰</t>
  </si>
  <si>
    <t>小圆盾</t>
  </si>
  <si>
    <t>小盾</t>
  </si>
  <si>
    <t>33-43</t>
  </si>
  <si>
    <t>小皮盾</t>
  </si>
  <si>
    <t>35-46</t>
  </si>
  <si>
    <t>霍克伍德盾</t>
  </si>
  <si>
    <t>41-54</t>
  </si>
  <si>
    <t>铁圆盾</t>
  </si>
  <si>
    <t>47-62</t>
  </si>
  <si>
    <t>咕鲁腐败盾</t>
  </si>
  <si>
    <t>44-58</t>
  </si>
  <si>
    <t>盾牌冲击</t>
  </si>
  <si>
    <t>团牌</t>
  </si>
  <si>
    <t>36-47</t>
  </si>
  <si>
    <t>鹿角圆盾</t>
  </si>
  <si>
    <t>39-51</t>
  </si>
  <si>
    <t>战士圆盾</t>
  </si>
  <si>
    <t>武器战技</t>
  </si>
  <si>
    <t>孪生蛇纹圆盾</t>
  </si>
  <si>
    <t>红白圆盾</t>
  </si>
  <si>
    <t>木板盾</t>
  </si>
  <si>
    <t>34-44</t>
  </si>
  <si>
    <t>皮盾</t>
  </si>
  <si>
    <t>红圆盾</t>
  </si>
  <si>
    <t>东方铁盾</t>
  </si>
  <si>
    <t>48-59</t>
  </si>
  <si>
    <t>林德盾</t>
  </si>
  <si>
    <t>45-59</t>
  </si>
  <si>
    <t>金鹰小盾</t>
  </si>
  <si>
    <t>圣花盾</t>
  </si>
  <si>
    <t>38-43</t>
  </si>
  <si>
    <t>法术格挡</t>
  </si>
  <si>
    <t>龙头盾</t>
  </si>
  <si>
    <t>龙的吐息</t>
  </si>
  <si>
    <t>圆盾</t>
  </si>
  <si>
    <t>中盾</t>
  </si>
  <si>
    <t>51-62</t>
  </si>
  <si>
    <t>大皮盾</t>
  </si>
  <si>
    <t>木盾</t>
  </si>
  <si>
    <t>53-65</t>
  </si>
  <si>
    <t>鸢形盾</t>
  </si>
  <si>
    <t>47-57</t>
  </si>
  <si>
    <t>洛斯里克骑士盾</t>
  </si>
  <si>
    <t>54-66</t>
  </si>
  <si>
    <t>骑士盾</t>
  </si>
  <si>
    <t>教宗骑士盾</t>
  </si>
  <si>
    <t>42-48</t>
  </si>
  <si>
    <t>卡萨斯盾</t>
  </si>
  <si>
    <t>45-55</t>
  </si>
  <si>
    <t>黑骑士盾</t>
  </si>
  <si>
    <t>60-69</t>
  </si>
  <si>
    <t>银骑士盾</t>
  </si>
  <si>
    <t>55-63</t>
  </si>
  <si>
    <t>刺针盾</t>
  </si>
  <si>
    <t>盾牌攻击</t>
  </si>
  <si>
    <t>突刺盾</t>
  </si>
  <si>
    <t>双鸟纹木盾</t>
  </si>
  <si>
    <t>太阳纹盾</t>
  </si>
  <si>
    <t>49-60</t>
  </si>
  <si>
    <t>图纹盾</t>
  </si>
  <si>
    <t>49-56</t>
  </si>
  <si>
    <t>龙图纹盾</t>
  </si>
  <si>
    <t>蜘蛛纹盾</t>
  </si>
  <si>
    <t>56-68</t>
  </si>
  <si>
    <t>草纹盾</t>
  </si>
  <si>
    <t>50-57</t>
  </si>
  <si>
    <t>黄昏盾</t>
  </si>
  <si>
    <t>金翼图纹盾</t>
  </si>
  <si>
    <t>蓝木盾</t>
  </si>
  <si>
    <t>50-61</t>
  </si>
  <si>
    <t>银鹫鸢形盾</t>
  </si>
  <si>
    <t>石像圆盾</t>
  </si>
  <si>
    <t>57-63</t>
  </si>
  <si>
    <t>神木图纹盾</t>
  </si>
  <si>
    <t>隶兽盾</t>
  </si>
  <si>
    <t>渴望盾</t>
  </si>
  <si>
    <t>58-62</t>
  </si>
  <si>
    <t>战神木盾</t>
  </si>
  <si>
    <t>幽魂盾</t>
  </si>
  <si>
    <t>55-67</t>
  </si>
  <si>
    <t>灵树盾</t>
  </si>
  <si>
    <t>50-53</t>
  </si>
  <si>
    <t>哈维尔大盾</t>
  </si>
  <si>
    <t>大盾</t>
  </si>
  <si>
    <t>75-80</t>
  </si>
  <si>
    <t>岩石身躯</t>
  </si>
  <si>
    <t>古龙绘大盾</t>
  </si>
  <si>
    <t>54-62</t>
  </si>
  <si>
    <t>洛斯里克骑士大盾</t>
  </si>
  <si>
    <t>64-71</t>
  </si>
  <si>
    <t>教堂骑士大盾</t>
  </si>
  <si>
    <t>67-75</t>
  </si>
  <si>
    <t>猎龙大盾</t>
  </si>
  <si>
    <t>74-79</t>
  </si>
  <si>
    <t>呻吟盾</t>
  </si>
  <si>
    <t>77-82</t>
  </si>
  <si>
    <t>呻吟</t>
  </si>
  <si>
    <t>尤姆大盾</t>
  </si>
  <si>
    <t>73-78</t>
  </si>
  <si>
    <t>黑铁大盾</t>
  </si>
  <si>
    <t>狼骑士大盾</t>
  </si>
  <si>
    <t>67-71</t>
  </si>
  <si>
    <t>双龙大盾</t>
  </si>
  <si>
    <t>63-70</t>
  </si>
  <si>
    <t>荣誉大盾</t>
  </si>
  <si>
    <t>80-85</t>
  </si>
  <si>
    <t>抗咒大盾</t>
  </si>
  <si>
    <t>66-70</t>
  </si>
  <si>
    <t>骸骨车轮盾</t>
  </si>
  <si>
    <t>59-66</t>
  </si>
  <si>
    <t>命运之轮</t>
  </si>
  <si>
    <t>石制大盾</t>
  </si>
  <si>
    <t>大门盾</t>
  </si>
  <si>
    <t>60-67</t>
  </si>
  <si>
    <t>紧闭</t>
  </si>
  <si>
    <t>龙头大盾</t>
  </si>
  <si>
    <t>60-64</t>
  </si>
  <si>
    <t>龙吼</t>
  </si>
  <si>
    <t>减伤率
防打击</t>
  </si>
  <si>
    <t>减伤率
防斩击</t>
  </si>
  <si>
    <t>减伤率
防突刺</t>
  </si>
  <si>
    <t>抵抗力
出血</t>
  </si>
  <si>
    <t>抵抗力
毒</t>
  </si>
  <si>
    <t>抵抗力
寒气</t>
  </si>
  <si>
    <t>耐性
咒死</t>
  </si>
  <si>
    <t>抵抗力
强韧度</t>
  </si>
  <si>
    <t>黑魔女帽子</t>
  </si>
  <si>
    <t>黑魔女面纱</t>
  </si>
  <si>
    <t>黑魔女外衣</t>
  </si>
  <si>
    <t>黑魔女腕套</t>
  </si>
  <si>
    <t>黑魔女长裤</t>
  </si>
  <si>
    <t>破布面罩</t>
  </si>
  <si>
    <t>专家衣服</t>
  </si>
  <si>
    <t>专家腕套</t>
  </si>
  <si>
    <t>遮羞布</t>
  </si>
  <si>
    <t>幽暗头冠</t>
  </si>
  <si>
    <t>古典礼服</t>
  </si>
  <si>
    <t>古典长手套</t>
  </si>
  <si>
    <t>古典裙子</t>
  </si>
  <si>
    <t>沙之咒术师风帽</t>
  </si>
  <si>
    <t>沙之咒术师外衣</t>
  </si>
  <si>
    <t>沙之咒术师手套</t>
  </si>
  <si>
    <t>沙之咒术师裙子</t>
  </si>
  <si>
    <t>师长遮眼布</t>
  </si>
  <si>
    <t>柯弭库斯外衣</t>
  </si>
  <si>
    <t>柯弭库斯腕套</t>
  </si>
  <si>
    <t>柯弭库斯围裙</t>
  </si>
  <si>
    <t>古老魔法师帽子</t>
  </si>
  <si>
    <t>古老魔法师大衣</t>
  </si>
  <si>
    <t>古老魔法师护臂</t>
  </si>
  <si>
    <t>古老魔法师靴子</t>
  </si>
  <si>
    <t>圣女风帽</t>
  </si>
  <si>
    <t>圣女外衣</t>
  </si>
  <si>
    <t>圣女手套</t>
  </si>
  <si>
    <t>圣女围裙</t>
  </si>
  <si>
    <t>守墓人风帽</t>
  </si>
  <si>
    <t>守墓人长袍</t>
  </si>
  <si>
    <t>守墓人腕套</t>
  </si>
  <si>
    <t>守墓人围裙</t>
  </si>
  <si>
    <t>黑影蒙面布</t>
  </si>
  <si>
    <t>黑影外衣</t>
  </si>
  <si>
    <t>黑影臂甲</t>
  </si>
  <si>
    <t>黑影腿甲</t>
  </si>
  <si>
    <t>微笑面具</t>
  </si>
  <si>
    <t>白影长袍</t>
  </si>
  <si>
    <t>白影手套</t>
  </si>
  <si>
    <t>白影长裤</t>
  </si>
  <si>
    <t>宫廷魔法师风帽</t>
  </si>
  <si>
    <t>宫廷魔法师长袍</t>
  </si>
  <si>
    <t>宫廷魔法师手套</t>
  </si>
  <si>
    <t>宫廷魔法师长裤</t>
  </si>
  <si>
    <t>卡露拉三角帽子</t>
  </si>
  <si>
    <t>卡露拉长袍</t>
  </si>
  <si>
    <t>卡露拉手套</t>
  </si>
  <si>
    <t>卡露拉长裤</t>
  </si>
  <si>
    <t>咒术师头冠</t>
  </si>
  <si>
    <t>咒术师外衣</t>
  </si>
  <si>
    <t>咒术师腕套</t>
  </si>
  <si>
    <t>咒术师长裤</t>
  </si>
  <si>
    <t>覆眼面具</t>
  </si>
  <si>
    <t>防火女长袍</t>
  </si>
  <si>
    <t>防火女腕套</t>
  </si>
  <si>
    <t>防火女裙子</t>
  </si>
  <si>
    <t>魔法师头巾</t>
  </si>
  <si>
    <t>魔法师长袍</t>
  </si>
  <si>
    <t>魔法师手套</t>
  </si>
  <si>
    <t>魔法师长裤</t>
  </si>
  <si>
    <t>诅咒师风帽</t>
  </si>
  <si>
    <t>诅咒师长袍</t>
  </si>
  <si>
    <t>诅咒师袖套</t>
  </si>
  <si>
    <t>诅咒师靴子</t>
  </si>
  <si>
    <t>铁头盔</t>
  </si>
  <si>
    <t>硬皮护甲</t>
  </si>
  <si>
    <t>硬皮护臂</t>
  </si>
  <si>
    <t>硬皮靴子</t>
  </si>
  <si>
    <t>绘画使者头巾</t>
  </si>
  <si>
    <t>绘画使者长衣</t>
  </si>
  <si>
    <t>绘画使者长手套</t>
  </si>
  <si>
    <t>绘画使者围裙</t>
  </si>
  <si>
    <t>工作用帽子</t>
  </si>
  <si>
    <t>工作用衣服</t>
  </si>
  <si>
    <t>工作用手套</t>
  </si>
  <si>
    <t>工作用长裤</t>
  </si>
  <si>
    <t>圣职帽子</t>
  </si>
  <si>
    <t>圣职蓝袍</t>
  </si>
  <si>
    <t>圣职手套</t>
  </si>
  <si>
    <t>圣职长裤</t>
  </si>
  <si>
    <t>法里斯帽子</t>
  </si>
  <si>
    <t>皮护甲</t>
  </si>
  <si>
    <t>皮手套</t>
  </si>
  <si>
    <t>皮靴子</t>
  </si>
  <si>
    <t>希拉头冠</t>
  </si>
  <si>
    <t>希拉铠甲</t>
  </si>
  <si>
    <t>希拉手套</t>
  </si>
  <si>
    <t>希拉长裤</t>
  </si>
  <si>
    <t>小偷面具</t>
  </si>
  <si>
    <t>黑皮铠甲</t>
  </si>
  <si>
    <t>黑皮手套</t>
  </si>
  <si>
    <t>黑皮靴子</t>
  </si>
  <si>
    <t>幽魂头盔</t>
  </si>
  <si>
    <t>幽魂铠甲</t>
  </si>
  <si>
    <t>幽魂手套</t>
  </si>
  <si>
    <t>幽魂靴子</t>
  </si>
  <si>
    <t>山贼头巾</t>
  </si>
  <si>
    <t>山贼铠甲</t>
  </si>
  <si>
    <t>山贼护手</t>
  </si>
  <si>
    <t>山贼长裤</t>
  </si>
  <si>
    <t>刺客头巾</t>
  </si>
  <si>
    <t>刺客铠甲</t>
  </si>
  <si>
    <t>刺客手套</t>
  </si>
  <si>
    <t>刺客长裤</t>
  </si>
  <si>
    <t>贵族面具</t>
  </si>
  <si>
    <t>狱卒长袍</t>
  </si>
  <si>
    <t>狱卒手套</t>
  </si>
  <si>
    <t>狱卒长裤</t>
  </si>
  <si>
    <t>教宗骑士头冠</t>
  </si>
  <si>
    <t>教宗骑士铠甲</t>
  </si>
  <si>
    <t>教宗骑士臂甲</t>
  </si>
  <si>
    <t>教宗骑士腿甲</t>
  </si>
  <si>
    <t>银面具</t>
  </si>
  <si>
    <t>李奥纳德外衣</t>
  </si>
  <si>
    <t>李奥纳德臂甲</t>
  </si>
  <si>
    <t>李奥纳德长裤</t>
  </si>
  <si>
    <t>舞娘头冠</t>
  </si>
  <si>
    <t>舞娘铠甲</t>
  </si>
  <si>
    <t>舞娘臂甲</t>
  </si>
  <si>
    <t>舞娘腿甲</t>
  </si>
  <si>
    <t>黄衣头冠</t>
  </si>
  <si>
    <t>黄衣外套</t>
  </si>
  <si>
    <t>黄衣手套</t>
  </si>
  <si>
    <t>黄衣长裤</t>
  </si>
  <si>
    <t>鸟喙面具</t>
  </si>
  <si>
    <t>黑色长裙</t>
  </si>
  <si>
    <t>黑色臂甲</t>
  </si>
  <si>
    <t>黑色腿甲</t>
  </si>
  <si>
    <t>不死队头盔</t>
  </si>
  <si>
    <t>不死队铠甲</t>
  </si>
  <si>
    <t>不死队臂甲</t>
  </si>
  <si>
    <t>不死队腿甲</t>
  </si>
  <si>
    <t>佣兵头盔</t>
  </si>
  <si>
    <t>佣兵铠甲</t>
  </si>
  <si>
    <t>佣兵臂甲</t>
  </si>
  <si>
    <t>佣兵长裤</t>
  </si>
  <si>
    <t>传火头盔</t>
  </si>
  <si>
    <t>传火铠甲</t>
  </si>
  <si>
    <t>传火臂甲</t>
  </si>
  <si>
    <t>传火腿甲</t>
  </si>
  <si>
    <t>薄暮面纱</t>
  </si>
  <si>
    <t>薄暮铠甲</t>
  </si>
  <si>
    <t>薄暮臂甲</t>
  </si>
  <si>
    <t>薄暮腿甲</t>
  </si>
  <si>
    <t>锁子头盔</t>
  </si>
  <si>
    <t>锁子铠甲</t>
  </si>
  <si>
    <t>皮护臂</t>
  </si>
  <si>
    <t>锁子腿甲</t>
  </si>
  <si>
    <t>传令者头盔</t>
  </si>
  <si>
    <t>传令者铠甲</t>
  </si>
  <si>
    <t>传令者手套</t>
  </si>
  <si>
    <t>传令者长裤</t>
  </si>
  <si>
    <t>刺针头盔</t>
  </si>
  <si>
    <t>刺针铠甲</t>
  </si>
  <si>
    <t>刺针臂甲</t>
  </si>
  <si>
    <t>刺针腿甲</t>
  </si>
  <si>
    <t>奴隶骑士头巾</t>
  </si>
  <si>
    <t>奴隶骑士铠甲</t>
  </si>
  <si>
    <t>奴隶骑士臂甲</t>
  </si>
  <si>
    <t>奴隶骑士腿甲</t>
  </si>
  <si>
    <t>狼骑士头盔</t>
  </si>
  <si>
    <t>狼骑士铠甲</t>
  </si>
  <si>
    <t>狼骑士臂甲</t>
  </si>
  <si>
    <t>狼骑士腿甲</t>
  </si>
  <si>
    <t>无名骑士头盔</t>
  </si>
  <si>
    <t>无名骑士铠甲</t>
  </si>
  <si>
    <t>无名骑士臂甲</t>
  </si>
  <si>
    <t>无名骑士腿甲</t>
  </si>
  <si>
    <t>亚瓦头盔</t>
  </si>
  <si>
    <t>亚瓦铠甲</t>
  </si>
  <si>
    <t>亚瓦臂甲</t>
  </si>
  <si>
    <t>亚瓦腿甲</t>
  </si>
  <si>
    <t>亡命骑士头盔</t>
  </si>
  <si>
    <t>亡命骑士铠甲</t>
  </si>
  <si>
    <t>亡命骑士臂甲</t>
  </si>
  <si>
    <t>亡命骑士长裤</t>
  </si>
  <si>
    <t>北方头盔</t>
  </si>
  <si>
    <t>北方铠甲</t>
  </si>
  <si>
    <t>北方手套</t>
  </si>
  <si>
    <t>北方长裤</t>
  </si>
  <si>
    <t>黑暗面罩</t>
  </si>
  <si>
    <t>黑暗铠甲</t>
  </si>
  <si>
    <t>黑暗臂甲</t>
  </si>
  <si>
    <t>黑暗腿甲</t>
  </si>
  <si>
    <t>太阳纹铠甲</t>
  </si>
  <si>
    <t>铁臂套</t>
  </si>
  <si>
    <t>铁腿甲</t>
  </si>
  <si>
    <t>导师帽子</t>
  </si>
  <si>
    <t>导师长袍</t>
  </si>
  <si>
    <t>导师手套</t>
  </si>
  <si>
    <t>导师长裤</t>
  </si>
  <si>
    <t>东方头盔</t>
  </si>
  <si>
    <t>东方铠甲</t>
  </si>
  <si>
    <t>东方臂甲</t>
  </si>
  <si>
    <t>东方腿甲</t>
  </si>
  <si>
    <t>火焰魔女头盔</t>
  </si>
  <si>
    <t>火焰魔女铠甲</t>
  </si>
  <si>
    <t>火焰魔女臂甲</t>
  </si>
  <si>
    <t>火焰魔女腿甲</t>
  </si>
  <si>
    <t>黄金王冠</t>
  </si>
  <si>
    <t>龙鳞铠甲</t>
  </si>
  <si>
    <t>黄金臂套</t>
  </si>
  <si>
    <t>龙鳞围裙</t>
  </si>
  <si>
    <t>上级骑士头盔</t>
  </si>
  <si>
    <t>上级骑士铠甲</t>
  </si>
  <si>
    <t>上级骑士臂甲</t>
  </si>
  <si>
    <t>上级骑士腿甲</t>
  </si>
  <si>
    <t>黄铜头盔</t>
  </si>
  <si>
    <t>黄铜铠甲</t>
  </si>
  <si>
    <t>黄铜臂甲</t>
  </si>
  <si>
    <t>黄铜腿甲</t>
  </si>
  <si>
    <t>征战骑士头盔</t>
  </si>
  <si>
    <t>征战骑士铠甲</t>
  </si>
  <si>
    <t>征战骑士臂甲</t>
  </si>
  <si>
    <t>征战骑士腿甲</t>
  </si>
  <si>
    <t>骑士头盔</t>
  </si>
  <si>
    <t>骑士铠甲</t>
  </si>
  <si>
    <t>骑士臂甲</t>
  </si>
  <si>
    <t>骑士腿甲</t>
  </si>
  <si>
    <t>环印骑士风帽</t>
  </si>
  <si>
    <t>环印骑士铠甲</t>
  </si>
  <si>
    <t>环印骑士臂甲</t>
  </si>
  <si>
    <t>环印骑士腿甲</t>
  </si>
  <si>
    <t>维赫勒头盔</t>
  </si>
  <si>
    <t>维赫勒铠甲</t>
  </si>
  <si>
    <t>维赫勒臂甲</t>
  </si>
  <si>
    <t>维赫勒腿甲</t>
  </si>
  <si>
    <t>黄昏头盔</t>
  </si>
  <si>
    <t>黄昏铠甲</t>
  </si>
  <si>
    <t>黄昏臂甲</t>
  </si>
  <si>
    <t>黄昏腿甲</t>
  </si>
  <si>
    <t>虚空头盔</t>
  </si>
  <si>
    <t>虚空铠甲</t>
  </si>
  <si>
    <t>虚空臂甲</t>
  </si>
  <si>
    <t>虚空腿甲</t>
  </si>
  <si>
    <t>洛里安头盔</t>
  </si>
  <si>
    <t>洛里安铠甲</t>
  </si>
  <si>
    <t>洛里安臂甲</t>
  </si>
  <si>
    <t>洛里安腿甲</t>
  </si>
  <si>
    <t>宠爱的头盔</t>
  </si>
  <si>
    <t>宠爱的拥抱铠甲</t>
  </si>
  <si>
    <t>宠爱的臂甲</t>
  </si>
  <si>
    <t>宠爱的腿甲</t>
  </si>
  <si>
    <t>法汉头盔</t>
  </si>
  <si>
    <t>法汉铠甲</t>
  </si>
  <si>
    <t>法汉臂甲</t>
  </si>
  <si>
    <t>法汉靴子</t>
  </si>
  <si>
    <t>黑骑士头盔</t>
  </si>
  <si>
    <t>黑骑士铠甲</t>
  </si>
  <si>
    <t>黑骑士臂甲</t>
  </si>
  <si>
    <t>黑骑士腿甲</t>
  </si>
  <si>
    <t>猎龙头盔</t>
  </si>
  <si>
    <t>猎龙铠甲</t>
  </si>
  <si>
    <t>猎龙臂甲</t>
  </si>
  <si>
    <t>猎龙腿甲</t>
  </si>
  <si>
    <t>龙血头盔</t>
  </si>
  <si>
    <t>龙血铠甲</t>
  </si>
  <si>
    <t>龙血臂甲</t>
  </si>
  <si>
    <t>龙血腿甲</t>
  </si>
  <si>
    <t>银骑士头盔</t>
  </si>
  <si>
    <t>银骑士铠甲</t>
  </si>
  <si>
    <t>银骑士臂甲</t>
  </si>
  <si>
    <t>银骑士腿甲</t>
  </si>
  <si>
    <t>镕铁猎龙头盔</t>
  </si>
  <si>
    <t>镕铁猎龙铠甲</t>
  </si>
  <si>
    <t>镕铁猎龙臂甲</t>
  </si>
  <si>
    <t>镕铁猎龙腿甲</t>
  </si>
  <si>
    <t>洛斯里克骑士头盔</t>
  </si>
  <si>
    <t>洛斯里克骑士铠甲</t>
  </si>
  <si>
    <t>洛斯里克骑士臂甲</t>
  </si>
  <si>
    <t>洛斯里克骑士腿甲</t>
  </si>
  <si>
    <t>拉普头盔</t>
  </si>
  <si>
    <t>拉普铠甲</t>
  </si>
  <si>
    <t>拉普臂甲</t>
  </si>
  <si>
    <t>拉普腿甲</t>
  </si>
  <si>
    <t>黑铁头盔</t>
  </si>
  <si>
    <t>黑铁铠甲</t>
  </si>
  <si>
    <t>黑铁臂甲</t>
  </si>
  <si>
    <t>黑铁腿甲</t>
  </si>
  <si>
    <t>摩恩头盔</t>
  </si>
  <si>
    <t>摩恩铠甲</t>
  </si>
  <si>
    <t>摩恩臂甲</t>
  </si>
  <si>
    <t>摩恩腿甲</t>
  </si>
  <si>
    <t>米尔伍德头盔</t>
  </si>
  <si>
    <t>米尔伍德铠甲</t>
  </si>
  <si>
    <t>米尔伍德臂甲</t>
  </si>
  <si>
    <t>米尔伍德腿甲</t>
  </si>
  <si>
    <t>处刑者头盔</t>
  </si>
  <si>
    <t>处刑者铠甲</t>
  </si>
  <si>
    <t>处刑者臂甲</t>
  </si>
  <si>
    <t>处刑者腿甲</t>
  </si>
  <si>
    <t>教堂骑士头盔</t>
  </si>
  <si>
    <t>教堂骑士铠甲</t>
  </si>
  <si>
    <t>教堂骑士臂甲</t>
  </si>
  <si>
    <t>教堂骑士腿甲</t>
  </si>
  <si>
    <t>古达头盔</t>
  </si>
  <si>
    <t>古达铠甲</t>
  </si>
  <si>
    <t>古达臂甲</t>
  </si>
  <si>
    <t>古达腿甲</t>
  </si>
  <si>
    <t>流放者面具</t>
  </si>
  <si>
    <t>流放者铠甲</t>
  </si>
  <si>
    <t>流放者臂甲</t>
  </si>
  <si>
    <t>流放者腿甲</t>
  </si>
  <si>
    <t>卡塔利纳头盔</t>
  </si>
  <si>
    <t>卡塔利纳护甲</t>
  </si>
  <si>
    <t>卡塔利纳护臂</t>
  </si>
  <si>
    <t>卡塔利纳护腿</t>
  </si>
  <si>
    <t>羽翼骑士头盔</t>
  </si>
  <si>
    <t>羽翼骑士铠甲</t>
  </si>
  <si>
    <t>羽翼骑士臂甲</t>
  </si>
  <si>
    <t>羽翼骑士腿甲</t>
  </si>
  <si>
    <t>哈维尔头盔</t>
  </si>
  <si>
    <t>哈维尔铠甲</t>
  </si>
  <si>
    <t>哈维尔臂甲</t>
  </si>
  <si>
    <t>哈维尔腿甲</t>
  </si>
  <si>
    <t>斯摩头盔</t>
  </si>
  <si>
    <t>斯摩铠甲</t>
  </si>
  <si>
    <t>斯摩臂甲</t>
  </si>
  <si>
    <t>斯摩腿甲</t>
  </si>
  <si>
    <t>鲁卡提耶面具</t>
  </si>
  <si>
    <t>米勒背心</t>
  </si>
  <si>
    <t>米勒手套</t>
  </si>
  <si>
    <t>米勒长裤</t>
  </si>
  <si>
    <t>克雷顿铁面罩</t>
  </si>
  <si>
    <t>米勒锁子甲</t>
  </si>
  <si>
    <t>米勒锁炼手套</t>
  </si>
  <si>
    <t>米勒锁子腿甲</t>
  </si>
  <si>
    <t>沃尼尔王冠</t>
  </si>
  <si>
    <t>多兰铠甲</t>
  </si>
  <si>
    <t>多兰护手</t>
  </si>
  <si>
    <t>多兰靴子</t>
  </si>
  <si>
    <t>说客白色头部</t>
  </si>
  <si>
    <t>哈兰得铠甲</t>
  </si>
  <si>
    <t>哈兰得臂甲</t>
  </si>
  <si>
    <t>哈兰得腿甲</t>
  </si>
  <si>
    <t>修女风帽</t>
  </si>
  <si>
    <t>修女长裙</t>
  </si>
  <si>
    <t>修女长裤</t>
  </si>
  <si>
    <t>大主教白冠</t>
  </si>
  <si>
    <t>大主教圣衣</t>
  </si>
  <si>
    <t>大主教围裙</t>
  </si>
  <si>
    <t>主教长袍</t>
  </si>
  <si>
    <t>主教围裙</t>
  </si>
  <si>
    <t>祈祷风帽</t>
  </si>
  <si>
    <t>祈祷长袍</t>
  </si>
  <si>
    <t>祈祷围裙</t>
  </si>
  <si>
    <t>士兵铁盔</t>
  </si>
  <si>
    <t>亡命士兵铠甲</t>
  </si>
  <si>
    <t>亡命士兵长裤</t>
  </si>
  <si>
    <t>黑手帽子</t>
  </si>
  <si>
    <t>黑手铠甲</t>
  </si>
  <si>
    <t>奴隶头巾</t>
  </si>
  <si>
    <t>贪欲者的烙印</t>
  </si>
  <si>
    <t>老者大帽子</t>
  </si>
  <si>
    <t>贤者长袍</t>
  </si>
  <si>
    <t>密探大衣</t>
  </si>
  <si>
    <t>古式便服</t>
  </si>
  <si>
    <t>紫布腕套</t>
  </si>
  <si>
    <t>兜裆布</t>
  </si>
  <si>
    <t>序号</t>
  </si>
  <si>
    <t>硬皮</t>
  </si>
  <si>
    <t>山贼</t>
  </si>
  <si>
    <t>鲁卡提耶</t>
  </si>
  <si>
    <t>克雷顿</t>
  </si>
  <si>
    <t>锁子</t>
  </si>
  <si>
    <t>北方</t>
  </si>
  <si>
    <t>太阳纹</t>
  </si>
  <si>
    <t>佣兵</t>
  </si>
  <si>
    <t>多兰</t>
  </si>
  <si>
    <t>幽魂</t>
  </si>
  <si>
    <t>希拉</t>
  </si>
  <si>
    <t>不死队</t>
  </si>
  <si>
    <t>传令者</t>
  </si>
  <si>
    <t>骑士</t>
  </si>
  <si>
    <t>无名骑士</t>
  </si>
  <si>
    <t>亡命骑士</t>
  </si>
  <si>
    <t>上级骑士</t>
  </si>
  <si>
    <t>亚瓦</t>
  </si>
  <si>
    <t>龙血</t>
  </si>
  <si>
    <t>法汉</t>
  </si>
  <si>
    <t>黄昏</t>
  </si>
  <si>
    <t>薄暮</t>
  </si>
  <si>
    <t>黄铜</t>
  </si>
  <si>
    <t>奴隶骑士</t>
  </si>
  <si>
    <t>维赫勒</t>
  </si>
  <si>
    <t>宠爱的拥抱</t>
  </si>
  <si>
    <t>东方</t>
  </si>
  <si>
    <t>刺针</t>
  </si>
  <si>
    <t>卡塔利纳</t>
  </si>
  <si>
    <t>摩恩</t>
  </si>
  <si>
    <t>拉普</t>
  </si>
  <si>
    <t>洛斯里克骑士</t>
  </si>
  <si>
    <t>教堂骑士</t>
  </si>
  <si>
    <t>羽翼骑士</t>
  </si>
  <si>
    <t>米尔伍德</t>
  </si>
  <si>
    <t>哈兰得</t>
  </si>
  <si>
    <t>虚空</t>
  </si>
  <si>
    <t>征战骑士</t>
  </si>
  <si>
    <t>教宗骑士</t>
  </si>
  <si>
    <t>火焰魔女</t>
  </si>
  <si>
    <t>舞娘</t>
  </si>
  <si>
    <t>黑暗</t>
  </si>
  <si>
    <t>黑骑士</t>
  </si>
  <si>
    <t>银骑士</t>
  </si>
  <si>
    <t>环印骑士</t>
  </si>
  <si>
    <t>猎龙</t>
  </si>
  <si>
    <t>狼骑士</t>
  </si>
  <si>
    <t>斯摩</t>
  </si>
  <si>
    <t>镕铁猎龙</t>
  </si>
  <si>
    <t>洛里安</t>
  </si>
  <si>
    <t>龙鳞</t>
  </si>
  <si>
    <t>传火</t>
  </si>
  <si>
    <t>黑铁</t>
  </si>
  <si>
    <t>处刑者</t>
  </si>
  <si>
    <t>流放者</t>
  </si>
  <si>
    <t>古达</t>
  </si>
  <si>
    <t>哈维尔</t>
  </si>
  <si>
    <t>刺客</t>
  </si>
  <si>
    <t>黑手</t>
  </si>
  <si>
    <t>黑皮</t>
  </si>
  <si>
    <t>黑影</t>
  </si>
  <si>
    <t>李奥纳德</t>
  </si>
  <si>
    <t>白影</t>
  </si>
  <si>
    <t>黑色</t>
  </si>
  <si>
    <t>绘画使者</t>
  </si>
  <si>
    <t>古式</t>
  </si>
  <si>
    <t>魔法师</t>
  </si>
  <si>
    <t>密探</t>
  </si>
  <si>
    <t>古老魔法师</t>
  </si>
  <si>
    <t>宫廷魔法师</t>
  </si>
  <si>
    <t>卡露拉</t>
  </si>
  <si>
    <t>黑魔女</t>
  </si>
  <si>
    <t>古典</t>
  </si>
  <si>
    <t>黄衣</t>
  </si>
  <si>
    <t>贤者</t>
  </si>
  <si>
    <t>咒术师</t>
  </si>
  <si>
    <t>柯弭库斯</t>
  </si>
  <si>
    <t>诅咒师</t>
  </si>
  <si>
    <t>沙之咒术师</t>
  </si>
  <si>
    <t>圣职</t>
  </si>
  <si>
    <t>圣女</t>
  </si>
  <si>
    <t>修女</t>
  </si>
  <si>
    <t>导师</t>
  </si>
  <si>
    <t>主教</t>
  </si>
  <si>
    <t>大主教</t>
  </si>
  <si>
    <t>狱卒</t>
  </si>
  <si>
    <t>祈祷</t>
  </si>
  <si>
    <t>防火女</t>
  </si>
  <si>
    <t>专家</t>
  </si>
  <si>
    <t>工作用</t>
  </si>
  <si>
    <t>守墓人</t>
  </si>
  <si>
    <t>亡命士兵</t>
  </si>
  <si>
    <t>皮</t>
  </si>
  <si>
    <t>道具效果</t>
  </si>
  <si>
    <t>效果备注</t>
  </si>
  <si>
    <t>版本</t>
  </si>
  <si>
    <t>生命戒指</t>
  </si>
  <si>
    <t>提升血量上限</t>
  </si>
  <si>
    <t>HP上限+7%</t>
  </si>
  <si>
    <t>无印</t>
  </si>
  <si>
    <t>生命戒指+1</t>
  </si>
  <si>
    <t>HP上限+8%</t>
  </si>
  <si>
    <t>生命戒指+2</t>
  </si>
  <si>
    <t>HP上限+9%</t>
  </si>
  <si>
    <t>生命戒指+3</t>
  </si>
  <si>
    <t>HP上限+10%</t>
  </si>
  <si>
    <t>太阳公主戒指</t>
  </si>
  <si>
    <t>缓慢恢复血量</t>
  </si>
  <si>
    <t>每秒恢复2HP</t>
  </si>
  <si>
    <t>原素戒指</t>
  </si>
  <si>
    <t>提升原素瓶恢复的血量</t>
  </si>
  <si>
    <t>原素瓶恢复的血量+20%</t>
  </si>
  <si>
    <t>原素灰戒指</t>
  </si>
  <si>
    <t>提升原素灰瓶恢复的专注值</t>
  </si>
  <si>
    <t>提升原素灰瓶恢复的专注值+20%</t>
  </si>
  <si>
    <t>绿花戒指</t>
  </si>
  <si>
    <t>提升精力的恢复速度</t>
  </si>
  <si>
    <t>每秒恢复精力7</t>
  </si>
  <si>
    <t>绿花戒指+1</t>
  </si>
  <si>
    <t>每秒恢复精力8</t>
  </si>
  <si>
    <t>绿花戒指+2</t>
  </si>
  <si>
    <t>每秒恢复精力9</t>
  </si>
  <si>
    <t>绿花戒指+3</t>
  </si>
  <si>
    <t>每秒恢复精力10</t>
  </si>
  <si>
    <t>DLC</t>
  </si>
  <si>
    <t>哈维尔戒指</t>
  </si>
  <si>
    <t>提升装备重量上限</t>
  </si>
  <si>
    <t>装备重量上限+15%</t>
  </si>
  <si>
    <t>哈维尔戒指+1</t>
  </si>
  <si>
    <t>装备重量上限+17%</t>
  </si>
  <si>
    <t>哈维尔戒指+2</t>
  </si>
  <si>
    <t>装备重量上限+18%</t>
  </si>
  <si>
    <t>哈维尔戒指+3</t>
  </si>
  <si>
    <t>装备重量上限+19%</t>
  </si>
  <si>
    <t>宠爱戒指</t>
  </si>
  <si>
    <t>能提升血量、精力与装备重量上限</t>
  </si>
  <si>
    <t>血量+3%、精力+8.5%、装备重量上限+5%</t>
  </si>
  <si>
    <t>宠爱戒指+1</t>
  </si>
  <si>
    <t>血量+4.5%、精力+9.5%、装备重量上限+6%</t>
  </si>
  <si>
    <t>宠爱戒指+2</t>
  </si>
  <si>
    <t>血量+5%、精力+10.5%、装备重量上限+7%</t>
  </si>
  <si>
    <t>宠爱戒指+3</t>
  </si>
  <si>
    <t>血量+6%、精力+11.5%、装备重量上限+8%</t>
  </si>
  <si>
    <t>俘虏锁链</t>
  </si>
  <si>
    <t>提升生命力、持久力、体力，受到的伤害也会增加</t>
  </si>
  <si>
    <t>生命力、持久力、体力+5，受到的伤害+4%</t>
  </si>
  <si>
    <t>钢铁庇佑戒指</t>
  </si>
  <si>
    <t>提升物理属性减伤率</t>
  </si>
  <si>
    <t>物理属性减伤率+10%（PVP+2%）</t>
  </si>
  <si>
    <t>钢铁庇佑戒指+1</t>
  </si>
  <si>
    <t>物理属性减伤率+13%（PVP+3%）</t>
  </si>
  <si>
    <t>钢铁庇佑戒指+2</t>
  </si>
  <si>
    <t>物理属性减伤率+15%（PVP+4%）</t>
  </si>
  <si>
    <t>钢铁庇佑戒指+3</t>
  </si>
  <si>
    <t>物理属性减伤率+17%（PVP+5%）</t>
  </si>
  <si>
    <t>魔力方石戒指</t>
  </si>
  <si>
    <t>提升魔力属性减伤率</t>
  </si>
  <si>
    <t>魔力属性减伤率+13%（PVP+4%）</t>
  </si>
  <si>
    <t>魔力方石戒指+1</t>
  </si>
  <si>
    <t>魔力属性减伤率+17%（PVP+5%）</t>
  </si>
  <si>
    <t>魔力方石戒指+2</t>
  </si>
  <si>
    <t>魔力属性减伤率+20%（PVP+6%）</t>
  </si>
  <si>
    <t>火方石戒指</t>
  </si>
  <si>
    <t>提升火属性减伤率</t>
  </si>
  <si>
    <t>火属性减伤率+13%（PVP+4%）</t>
  </si>
  <si>
    <t>火方石戒指+1</t>
  </si>
  <si>
    <t>火属性减伤率+17%（PVP+5%）</t>
  </si>
  <si>
    <t>火方石戒指+2</t>
  </si>
  <si>
    <t>火属性减伤率+20%（PVP+6%）</t>
  </si>
  <si>
    <t>雷方石戒指</t>
  </si>
  <si>
    <t>提升雷属性减伤率</t>
  </si>
  <si>
    <t>雷属性减伤率+13%（PVP+4%）</t>
  </si>
  <si>
    <t>未知</t>
  </si>
  <si>
    <t>雷方石戒指+1</t>
  </si>
  <si>
    <t>雷属性减伤率+17%（PVP+5%）</t>
  </si>
  <si>
    <t>雷方石戒指+2</t>
  </si>
  <si>
    <t>雷属性减伤率+20%（PVP+6%）</t>
  </si>
  <si>
    <t>暗方石戒指</t>
  </si>
  <si>
    <t>提升暗属性减伤率</t>
  </si>
  <si>
    <t>暗属性减伤率+13%（PVP+4%）</t>
  </si>
  <si>
    <t>暗方石戒指+1</t>
  </si>
  <si>
    <t>暗属性减伤率+17%（PVP+5%）</t>
  </si>
  <si>
    <t>暗方石戒指+2</t>
  </si>
  <si>
    <t>暗属性减伤率+20%（PVP+6%）</t>
  </si>
  <si>
    <t>斑方石戒指</t>
  </si>
  <si>
    <t>稍微提升火、雷、暗、魔力属性的减伤率</t>
  </si>
  <si>
    <t>火、雷、暗、魔力属性的减伤率+5%</t>
  </si>
  <si>
    <t>斑方石戒指+1</t>
  </si>
  <si>
    <t>火、雷、暗、魔力属性的减伤率+7%</t>
  </si>
  <si>
    <t>咬血戒指</t>
  </si>
  <si>
    <t>提升对出血的抵抗力</t>
  </si>
  <si>
    <t>对出血的抵抗力+90</t>
  </si>
  <si>
    <t>咬血戒指+1</t>
  </si>
  <si>
    <t>对出血的抵抗力+140</t>
  </si>
  <si>
    <t>咬毒戒指</t>
  </si>
  <si>
    <t>提升对毒的抵抗力</t>
  </si>
  <si>
    <t>对毒的抵抗力+90</t>
  </si>
  <si>
    <t>咬毒戒指+1</t>
  </si>
  <si>
    <t>对毒的抵抗力+140</t>
  </si>
  <si>
    <t>咬霜戒指</t>
  </si>
  <si>
    <t>提升对寒气的抵抗力</t>
  </si>
  <si>
    <t>对冻伤的抵抗力+140</t>
  </si>
  <si>
    <t>咬咒戒指</t>
  </si>
  <si>
    <t>提升对咒死的抵抗力</t>
  </si>
  <si>
    <t>对咒死的抵抗力+90</t>
  </si>
  <si>
    <t>咬人戒指</t>
  </si>
  <si>
    <t>提升对出血、毒、寒气、咒死的抵抗力</t>
  </si>
  <si>
    <t>对出血、毒、寒气、咒死的抵抗力+40</t>
  </si>
  <si>
    <t>咬人戒指+1</t>
  </si>
  <si>
    <t>对出血、毒、寒气、咒死的抵抗力+60</t>
  </si>
  <si>
    <t>骑士戒指</t>
  </si>
  <si>
    <t>提升力气</t>
  </si>
  <si>
    <t>力量+5</t>
  </si>
  <si>
    <t>猎人戒指</t>
  </si>
  <si>
    <t>提升敏捷</t>
  </si>
  <si>
    <t>敏捷+5</t>
  </si>
  <si>
    <t>贤者戒指</t>
  </si>
  <si>
    <t>提升智力</t>
  </si>
  <si>
    <t>智力+5</t>
  </si>
  <si>
    <t>主祭戒指</t>
  </si>
  <si>
    <t>提升信仰</t>
  </si>
  <si>
    <t>信仰+5</t>
  </si>
  <si>
    <t>贪婪金蛇戒指</t>
  </si>
  <si>
    <t>提升寻宝能力</t>
  </si>
  <si>
    <t>发现力+50</t>
  </si>
  <si>
    <t>贪婪金蛇戒指+1</t>
  </si>
  <si>
    <t>发现力+75</t>
  </si>
  <si>
    <t>贪婪金蛇戒指+2</t>
  </si>
  <si>
    <t>发现力+100</t>
  </si>
  <si>
    <t>贪婪金蛇戒指+3</t>
  </si>
  <si>
    <t>发现力+115</t>
  </si>
  <si>
    <t>贪婪银蛇戒指</t>
  </si>
  <si>
    <t>增加打倒敌人时吸收的灵魂量</t>
  </si>
  <si>
    <t>打倒敌人获得魂+10%</t>
  </si>
  <si>
    <t>贪婪银蛇戒指+1</t>
  </si>
  <si>
    <t>打倒敌人获得魂+20%</t>
  </si>
  <si>
    <t>贪婪银蛇戒指+2</t>
  </si>
  <si>
    <t>打倒敌人获得魂+30%</t>
  </si>
  <si>
    <t>贪婪银蛇戒指+3</t>
  </si>
  <si>
    <t>打倒敌人获得魂+35%</t>
  </si>
  <si>
    <t>圣女戒指</t>
  </si>
  <si>
    <t>增加记忆空格</t>
  </si>
  <si>
    <t>记忆空格+1</t>
  </si>
  <si>
    <t>幽邃戒指</t>
  </si>
  <si>
    <t>暗月戒指</t>
  </si>
  <si>
    <t>大幅增加记忆空格</t>
  </si>
  <si>
    <t>记忆空格+2</t>
  </si>
  <si>
    <t>稚嫩龙徽戒指</t>
  </si>
  <si>
    <t>提升魔法威力</t>
  </si>
  <si>
    <t>魔法威力+12%</t>
  </si>
  <si>
    <t>狂吼龙徽戒指</t>
  </si>
  <si>
    <t>大幅提升魔法威力</t>
  </si>
  <si>
    <t>魔法威力+20%</t>
  </si>
  <si>
    <t>大沼戒指</t>
  </si>
  <si>
    <t>提升咒术威力</t>
  </si>
  <si>
    <t>咒术威力+12%</t>
  </si>
  <si>
    <t>魔女们的戒指</t>
  </si>
  <si>
    <t>大幅提升咒术威力</t>
  </si>
  <si>
    <t>咒术威力+20%</t>
  </si>
  <si>
    <t>摩恩戒指</t>
  </si>
  <si>
    <t>提升奇迹威力</t>
  </si>
  <si>
    <t>奇迹威力+12%</t>
  </si>
  <si>
    <t>太阳长男戒指</t>
  </si>
  <si>
    <t>大幅提升奇迹威力</t>
  </si>
  <si>
    <t>奇迹威力+20%</t>
  </si>
  <si>
    <t>伫立龙徽戒指</t>
  </si>
  <si>
    <t>延长法术的有效时间</t>
  </si>
  <si>
    <t>魔法效果持续时间+30%</t>
  </si>
  <si>
    <t>伫立龙徽戒指+1</t>
  </si>
  <si>
    <t>魔法效果持续时间+35%</t>
  </si>
  <si>
    <t>伫立龙徽戒指+2</t>
  </si>
  <si>
    <t>魔法效果持续时间+40%</t>
  </si>
  <si>
    <t>老者戒指</t>
  </si>
  <si>
    <t>缩短法术的咏唱时间</t>
  </si>
  <si>
    <t>缩短施法时间（临时敏捷+30）</t>
  </si>
  <si>
    <t>老者戒指+1</t>
  </si>
  <si>
    <t>缩短施法时间（临时敏捷+35）</t>
  </si>
  <si>
    <t>老者戒指+2</t>
  </si>
  <si>
    <t>缩短施法时间（临时敏捷+40）</t>
  </si>
  <si>
    <t>幽暗宝冠戒指</t>
  </si>
  <si>
    <t>减少使用法术消耗的专注值，但血量会减少</t>
  </si>
  <si>
    <t>大部分法术消耗专注值减少20-25%，生命值-15%</t>
  </si>
  <si>
    <t>狮子戒指</t>
  </si>
  <si>
    <t>提升突刺属性的反击攻击力</t>
  </si>
  <si>
    <t>将对手攻击时的突刺减伤率从减少30%提升至减少49.5%</t>
  </si>
  <si>
    <t>狼戒指</t>
  </si>
  <si>
    <t>提升强韧度</t>
  </si>
  <si>
    <t>强韧度+4</t>
  </si>
  <si>
    <t>狼戒指+1</t>
  </si>
  <si>
    <t>强韧度+6</t>
  </si>
  <si>
    <t>狼戒指+2</t>
  </si>
  <si>
    <t>强韧度+8</t>
  </si>
  <si>
    <t>狼戒指+3</t>
  </si>
  <si>
    <t>强韧度+9</t>
  </si>
  <si>
    <t>老鹰戒指</t>
  </si>
  <si>
    <t>增加弓的攻击距离</t>
  </si>
  <si>
    <t>黄蜂戒指</t>
  </si>
  <si>
    <t>提升致命攻击力</t>
  </si>
  <si>
    <t>致命攻击伤害+30%</t>
  </si>
  <si>
    <t>猎杀骑士戒指</t>
  </si>
  <si>
    <t>提升敌人持盾防御消耗的精力</t>
  </si>
  <si>
    <t>敌人持盾防御消耗的精力+10%</t>
  </si>
  <si>
    <t>邪眼戒指</t>
  </si>
  <si>
    <t>打倒敌人时能恢复血量</t>
  </si>
  <si>
    <t>打倒敌人时能恢复血量30</t>
  </si>
  <si>
    <t>邪眼戒指+1</t>
  </si>
  <si>
    <t>打倒敌人时能恢复血量33</t>
  </si>
  <si>
    <t>邪眼戒指+2</t>
  </si>
  <si>
    <t>打倒敌人时能恢复血量35</t>
  </si>
  <si>
    <t>邪眼戒指+3</t>
  </si>
  <si>
    <t>打倒敌人时能恢复血量37</t>
  </si>
  <si>
    <t>法兰戒指</t>
  </si>
  <si>
    <t>减少使用战技消耗的专注值</t>
  </si>
  <si>
    <t>使用战技消耗的专注值-25%</t>
  </si>
  <si>
    <t>龙鳞戒指</t>
  </si>
  <si>
    <t>减少背后攻击受到的伤害</t>
  </si>
  <si>
    <t>受到背刺的伤害减少30%</t>
  </si>
  <si>
    <t>马腿戒指</t>
  </si>
  <si>
    <t>提升踢击的攻击力</t>
  </si>
  <si>
    <t>踢击的敌人消耗的精力+30%</t>
  </si>
  <si>
    <t>木纹戒指</t>
  </si>
  <si>
    <t>让装备的耐久度变得不容易下降</t>
  </si>
  <si>
    <t>装备的耐久度下降速度-20%</t>
  </si>
  <si>
    <t>木纹戒指+1</t>
  </si>
  <si>
    <t>装备的耐久度下降速度-30%</t>
  </si>
  <si>
    <t>木纹戒指+2</t>
  </si>
  <si>
    <t>装备的耐久度下降速度-40%</t>
  </si>
  <si>
    <t>弗林戒指</t>
  </si>
  <si>
    <t>装备重量越轻，攻击力越高</t>
  </si>
  <si>
    <t>负重（重量）小于30时，每减少2点重量增加1%物理攻击力</t>
  </si>
  <si>
    <t>魔力怪手戒指</t>
  </si>
  <si>
    <t>提升魔力属性攻击力，但会降低减伤率</t>
  </si>
  <si>
    <t>魔力属性最终伤害+15%，减伤率-10%</t>
  </si>
  <si>
    <t>雷电怪手戒指</t>
  </si>
  <si>
    <t>提升雷属性攻击力，但会降低减伤率</t>
  </si>
  <si>
    <t>雷属性最终伤害+15%，减伤率-10%</t>
  </si>
  <si>
    <t>火焰怪手戒指</t>
  </si>
  <si>
    <t>提升火属性攻击力，但会降低减伤率</t>
  </si>
  <si>
    <t>火属性最终伤害+15%，减伤率-10%</t>
  </si>
  <si>
    <t>暗怪手戒指</t>
  </si>
  <si>
    <t>提升暗属性攻击力，但会降低减伤率</t>
  </si>
  <si>
    <t>暗属性最终伤害+15%，减伤率-10%</t>
  </si>
  <si>
    <t>红泪石戒指</t>
  </si>
  <si>
    <t>当血量大幅减少时，攻击力会暂时提升</t>
  </si>
  <si>
    <t>当血量低于20%时，最终伤害+20%</t>
  </si>
  <si>
    <t>蓝泪石戒指</t>
  </si>
  <si>
    <t>当血量大幅减少时，减伤率会暂时提升</t>
  </si>
  <si>
    <t>当血量低于20%时，减伤率+20%</t>
  </si>
  <si>
    <t>洛伊德剑徽戒指</t>
  </si>
  <si>
    <t>血量全满时，暂时提升攻击力</t>
  </si>
  <si>
    <t>血量大于99%时，攻击力+10%</t>
  </si>
  <si>
    <t>洛伊德盾徽戒指</t>
  </si>
  <si>
    <t>血量全满时，暂时提升减伤率</t>
  </si>
  <si>
    <t>血量大于99%时，减伤率+20%</t>
  </si>
  <si>
    <t>卡萨斯乳白戒指</t>
  </si>
  <si>
    <t>稍微提升敏捷，将难以看见翻滚中的身影</t>
  </si>
  <si>
    <t>敏捷+3，翻滚时隐身</t>
  </si>
  <si>
    <t>卡萨斯血环</t>
  </si>
  <si>
    <t>提升翻滚的回避能力，但受到的伤害增加</t>
  </si>
  <si>
    <t>提升翻滚的回避能力，减伤率减少30%</t>
  </si>
  <si>
    <t>教宗右眼</t>
  </si>
  <si>
    <t>越持续攻击，攻击力越高</t>
  </si>
  <si>
    <t>越持续攻击，武器攻击力越高，最高+10%</t>
  </si>
  <si>
    <t>教宗左眼</t>
  </si>
  <si>
    <t>持续攻击能恢复血量</t>
  </si>
  <si>
    <t>持续攻击能恢复30血量</t>
  </si>
  <si>
    <t>艾尔德利奇红石</t>
  </si>
  <si>
    <t>致命攻击时恢复血量</t>
  </si>
  <si>
    <t>致命攻击时恢复85血量</t>
  </si>
  <si>
    <t>艾尔德利奇蓝石</t>
  </si>
  <si>
    <t>致命攻击时恢复专注值</t>
  </si>
  <si>
    <t>致命攻击时恢复15专注值</t>
  </si>
  <si>
    <t>银猫戒指</t>
  </si>
  <si>
    <t>掉落时不会受到伤害</t>
  </si>
  <si>
    <t>沉眠龙徽戒指</t>
  </si>
  <si>
    <t>消除装备者发出的声响</t>
  </si>
  <si>
    <t>幻肢戒指</t>
  </si>
  <si>
    <t>能在远处就隐藏装备者的身影</t>
  </si>
  <si>
    <t>暗色伪装戒指</t>
  </si>
  <si>
    <t>变成非游魂的实体外表</t>
  </si>
  <si>
    <t>白色伪装戒指</t>
  </si>
  <si>
    <t>变成非游魂的灵体外表</t>
  </si>
  <si>
    <t>化生戒指</t>
  </si>
  <si>
    <t>能变成异性的举止</t>
  </si>
  <si>
    <t>头盖骨戒指</t>
  </si>
  <si>
    <t>变得容易受到敌人攻击</t>
  </si>
  <si>
    <t>灾难戒指</t>
  </si>
  <si>
    <t>受到的伤害加倍</t>
  </si>
  <si>
    <t>牺牲戒指</t>
  </si>
  <si>
    <t>死亡时不会失去灵魂，但会失去戒指</t>
  </si>
  <si>
    <t>宝贵牺牲戒指（删减内容）</t>
  </si>
  <si>
    <t>被咒死时不会累积诅咒，但会失去戒指</t>
  </si>
  <si>
    <t>约亚戒指（删减内容）</t>
  </si>
  <si>
    <t>偶尔会弹开咒文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</si>
</sst>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b/>
      <sz val="10"/>
      <color theme="1"/>
      <name val="Arial Unicode MS"/>
      <charset val="134"/>
    </font>
    <font>
      <sz val="10"/>
      <color theme="1"/>
      <name val="Arial Unicode MS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9" tint="0.4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0" fillId="6" borderId="1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9" fillId="0" borderId="2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7" borderId="4" applyNumberFormat="0" applyAlignment="0" applyProtection="0">
      <alignment vertical="center"/>
    </xf>
    <xf numFmtId="0" fontId="12" fillId="8" borderId="5" applyNumberFormat="0" applyAlignment="0" applyProtection="0">
      <alignment vertical="center"/>
    </xf>
    <xf numFmtId="0" fontId="13" fillId="8" borderId="4" applyNumberFormat="0" applyAlignment="0" applyProtection="0">
      <alignment vertical="center"/>
    </xf>
    <xf numFmtId="0" fontId="14" fillId="9" borderId="6" applyNumberFormat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10" borderId="0" applyNumberFormat="0" applyBorder="0" applyAlignment="0" applyProtection="0">
      <alignment vertical="center"/>
    </xf>
    <xf numFmtId="0" fontId="18" fillId="11" borderId="0" applyNumberFormat="0" applyBorder="0" applyAlignment="0" applyProtection="0">
      <alignment vertical="center"/>
    </xf>
    <xf numFmtId="0" fontId="19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</cellStyleXfs>
  <cellXfs count="20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 wrapText="1"/>
    </xf>
    <xf numFmtId="0" fontId="0" fillId="0" borderId="0" xfId="0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2" fillId="2" borderId="0" xfId="0" applyFont="1" applyFill="1" applyAlignment="1">
      <alignment horizontal="center" vertical="center" wrapText="1"/>
    </xf>
    <xf numFmtId="0" fontId="0" fillId="3" borderId="0" xfId="0" applyFill="1" applyAlignment="1">
      <alignment horizontal="center" vertical="center"/>
    </xf>
    <xf numFmtId="0" fontId="2" fillId="3" borderId="0" xfId="0" applyFont="1" applyFill="1" applyAlignment="1">
      <alignment horizontal="center" vertical="center" wrapText="1"/>
    </xf>
    <xf numFmtId="0" fontId="0" fillId="4" borderId="0" xfId="0" applyFill="1" applyAlignment="1">
      <alignment horizontal="center" vertical="center"/>
    </xf>
    <xf numFmtId="0" fontId="2" fillId="4" borderId="0" xfId="0" applyFont="1" applyFill="1" applyAlignment="1">
      <alignment horizontal="center" vertical="center" wrapText="1"/>
    </xf>
    <xf numFmtId="0" fontId="0" fillId="5" borderId="0" xfId="0" applyFill="1" applyAlignment="1">
      <alignment horizontal="center" vertical="center"/>
    </xf>
    <xf numFmtId="0" fontId="2" fillId="5" borderId="0" xfId="0" applyFont="1" applyFill="1" applyAlignment="1">
      <alignment horizontal="center" vertical="center" wrapText="1"/>
    </xf>
    <xf numFmtId="0" fontId="0" fillId="2" borderId="0" xfId="0" applyFill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0" fillId="4" borderId="0" xfId="0" applyFill="1" applyAlignment="1">
      <alignment horizontal="center" vertical="center" wrapText="1"/>
    </xf>
    <xf numFmtId="0" fontId="0" fillId="5" borderId="0" xfId="0" applyFill="1" applyAlignment="1">
      <alignment horizontal="center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8.png"/><Relationship Id="rId98" Type="http://schemas.openxmlformats.org/officeDocument/2006/relationships/image" Target="media/image97.png"/><Relationship Id="rId97" Type="http://schemas.openxmlformats.org/officeDocument/2006/relationships/image" Target="media/image96.png"/><Relationship Id="rId96" Type="http://schemas.openxmlformats.org/officeDocument/2006/relationships/image" Target="media/image95.png"/><Relationship Id="rId95" Type="http://schemas.openxmlformats.org/officeDocument/2006/relationships/image" Target="media/image94.png"/><Relationship Id="rId94" Type="http://schemas.openxmlformats.org/officeDocument/2006/relationships/image" Target="media/image93.png"/><Relationship Id="rId93" Type="http://schemas.openxmlformats.org/officeDocument/2006/relationships/image" Target="media/image92.png"/><Relationship Id="rId92" Type="http://schemas.openxmlformats.org/officeDocument/2006/relationships/image" Target="media/image91.png"/><Relationship Id="rId91" Type="http://schemas.openxmlformats.org/officeDocument/2006/relationships/image" Target="media/image90.png"/><Relationship Id="rId90" Type="http://schemas.openxmlformats.org/officeDocument/2006/relationships/image" Target="media/image89.png"/><Relationship Id="rId9" Type="http://schemas.openxmlformats.org/officeDocument/2006/relationships/image" Target="media/image8.png"/><Relationship Id="rId89" Type="http://schemas.openxmlformats.org/officeDocument/2006/relationships/image" Target="media/image88.png"/><Relationship Id="rId88" Type="http://schemas.openxmlformats.org/officeDocument/2006/relationships/image" Target="media/image87.png"/><Relationship Id="rId87" Type="http://schemas.openxmlformats.org/officeDocument/2006/relationships/image" Target="media/image86.png"/><Relationship Id="rId86" Type="http://schemas.openxmlformats.org/officeDocument/2006/relationships/image" Target="media/image85.png"/><Relationship Id="rId85" Type="http://schemas.openxmlformats.org/officeDocument/2006/relationships/image" Target="media/image84.png"/><Relationship Id="rId84" Type="http://schemas.openxmlformats.org/officeDocument/2006/relationships/image" Target="media/image83.png"/><Relationship Id="rId83" Type="http://schemas.openxmlformats.org/officeDocument/2006/relationships/image" Target="media/image82.png"/><Relationship Id="rId82" Type="http://schemas.openxmlformats.org/officeDocument/2006/relationships/image" Target="media/image81.png"/><Relationship Id="rId81" Type="http://schemas.openxmlformats.org/officeDocument/2006/relationships/image" Target="media/image80.png"/><Relationship Id="rId80" Type="http://schemas.openxmlformats.org/officeDocument/2006/relationships/image" Target="media/image79.png"/><Relationship Id="rId8" Type="http://schemas.openxmlformats.org/officeDocument/2006/relationships/image" Target="media/image7.png"/><Relationship Id="rId793" Type="http://schemas.openxmlformats.org/officeDocument/2006/relationships/image" Target="media/image792.jpeg"/><Relationship Id="rId792" Type="http://schemas.openxmlformats.org/officeDocument/2006/relationships/image" Target="media/image791.jpeg"/><Relationship Id="rId791" Type="http://schemas.openxmlformats.org/officeDocument/2006/relationships/image" Target="media/image790.jpeg"/><Relationship Id="rId790" Type="http://schemas.openxmlformats.org/officeDocument/2006/relationships/image" Target="media/image789.jpeg"/><Relationship Id="rId79" Type="http://schemas.openxmlformats.org/officeDocument/2006/relationships/image" Target="media/image78.png"/><Relationship Id="rId789" Type="http://schemas.openxmlformats.org/officeDocument/2006/relationships/image" Target="media/image788.jpeg"/><Relationship Id="rId788" Type="http://schemas.openxmlformats.org/officeDocument/2006/relationships/image" Target="media/image787.jpeg"/><Relationship Id="rId787" Type="http://schemas.openxmlformats.org/officeDocument/2006/relationships/image" Target="media/image786.jpeg"/><Relationship Id="rId786" Type="http://schemas.openxmlformats.org/officeDocument/2006/relationships/image" Target="media/image785.jpeg"/><Relationship Id="rId785" Type="http://schemas.openxmlformats.org/officeDocument/2006/relationships/image" Target="media/image784.jpeg"/><Relationship Id="rId784" Type="http://schemas.openxmlformats.org/officeDocument/2006/relationships/image" Target="media/image783.jpeg"/><Relationship Id="rId783" Type="http://schemas.openxmlformats.org/officeDocument/2006/relationships/image" Target="media/image782.jpeg"/><Relationship Id="rId782" Type="http://schemas.openxmlformats.org/officeDocument/2006/relationships/image" Target="media/image781.jpeg"/><Relationship Id="rId781" Type="http://schemas.openxmlformats.org/officeDocument/2006/relationships/image" Target="media/image780.jpeg"/><Relationship Id="rId780" Type="http://schemas.openxmlformats.org/officeDocument/2006/relationships/image" Target="media/image779.jpeg"/><Relationship Id="rId78" Type="http://schemas.openxmlformats.org/officeDocument/2006/relationships/image" Target="media/image77.png"/><Relationship Id="rId779" Type="http://schemas.openxmlformats.org/officeDocument/2006/relationships/image" Target="media/image778.jpeg"/><Relationship Id="rId778" Type="http://schemas.openxmlformats.org/officeDocument/2006/relationships/image" Target="media/image777.jpeg"/><Relationship Id="rId777" Type="http://schemas.openxmlformats.org/officeDocument/2006/relationships/image" Target="media/image776.jpeg"/><Relationship Id="rId776" Type="http://schemas.openxmlformats.org/officeDocument/2006/relationships/image" Target="media/image775.jpeg"/><Relationship Id="rId775" Type="http://schemas.openxmlformats.org/officeDocument/2006/relationships/image" Target="media/image774.jpeg"/><Relationship Id="rId774" Type="http://schemas.openxmlformats.org/officeDocument/2006/relationships/image" Target="media/image773.jpeg"/><Relationship Id="rId773" Type="http://schemas.openxmlformats.org/officeDocument/2006/relationships/image" Target="media/image772.jpeg"/><Relationship Id="rId772" Type="http://schemas.openxmlformats.org/officeDocument/2006/relationships/image" Target="media/image771.jpeg"/><Relationship Id="rId771" Type="http://schemas.openxmlformats.org/officeDocument/2006/relationships/image" Target="media/image770.jpeg"/><Relationship Id="rId770" Type="http://schemas.openxmlformats.org/officeDocument/2006/relationships/image" Target="media/image769.jpeg"/><Relationship Id="rId77" Type="http://schemas.openxmlformats.org/officeDocument/2006/relationships/image" Target="media/image76.png"/><Relationship Id="rId769" Type="http://schemas.openxmlformats.org/officeDocument/2006/relationships/image" Target="media/image768.jpeg"/><Relationship Id="rId768" Type="http://schemas.openxmlformats.org/officeDocument/2006/relationships/image" Target="media/image767.jpeg"/><Relationship Id="rId767" Type="http://schemas.openxmlformats.org/officeDocument/2006/relationships/image" Target="media/image766.jpeg"/><Relationship Id="rId766" Type="http://schemas.openxmlformats.org/officeDocument/2006/relationships/image" Target="media/image765.jpeg"/><Relationship Id="rId765" Type="http://schemas.openxmlformats.org/officeDocument/2006/relationships/image" Target="media/image764.jpeg"/><Relationship Id="rId764" Type="http://schemas.openxmlformats.org/officeDocument/2006/relationships/image" Target="media/image763.jpeg"/><Relationship Id="rId763" Type="http://schemas.openxmlformats.org/officeDocument/2006/relationships/image" Target="media/image762.jpeg"/><Relationship Id="rId762" Type="http://schemas.openxmlformats.org/officeDocument/2006/relationships/image" Target="media/image761.jpeg"/><Relationship Id="rId761" Type="http://schemas.openxmlformats.org/officeDocument/2006/relationships/image" Target="media/image760.jpeg"/><Relationship Id="rId760" Type="http://schemas.openxmlformats.org/officeDocument/2006/relationships/image" Target="media/image759.jpeg"/><Relationship Id="rId76" Type="http://schemas.openxmlformats.org/officeDocument/2006/relationships/image" Target="media/image75.png"/><Relationship Id="rId759" Type="http://schemas.openxmlformats.org/officeDocument/2006/relationships/image" Target="media/image758.jpeg"/><Relationship Id="rId758" Type="http://schemas.openxmlformats.org/officeDocument/2006/relationships/image" Target="media/image757.jpeg"/><Relationship Id="rId757" Type="http://schemas.openxmlformats.org/officeDocument/2006/relationships/image" Target="media/image756.jpeg"/><Relationship Id="rId756" Type="http://schemas.openxmlformats.org/officeDocument/2006/relationships/image" Target="media/image755.jpeg"/><Relationship Id="rId755" Type="http://schemas.openxmlformats.org/officeDocument/2006/relationships/image" Target="media/image754.jpeg"/><Relationship Id="rId754" Type="http://schemas.openxmlformats.org/officeDocument/2006/relationships/image" Target="media/image753.jpeg"/><Relationship Id="rId753" Type="http://schemas.openxmlformats.org/officeDocument/2006/relationships/image" Target="media/image752.jpeg"/><Relationship Id="rId752" Type="http://schemas.openxmlformats.org/officeDocument/2006/relationships/image" Target="media/image751.jpeg"/><Relationship Id="rId751" Type="http://schemas.openxmlformats.org/officeDocument/2006/relationships/image" Target="media/image750.jpeg"/><Relationship Id="rId750" Type="http://schemas.openxmlformats.org/officeDocument/2006/relationships/image" Target="media/image749.jpeg"/><Relationship Id="rId75" Type="http://schemas.openxmlformats.org/officeDocument/2006/relationships/image" Target="media/image74.png"/><Relationship Id="rId749" Type="http://schemas.openxmlformats.org/officeDocument/2006/relationships/image" Target="media/image748.jpeg"/><Relationship Id="rId748" Type="http://schemas.openxmlformats.org/officeDocument/2006/relationships/image" Target="media/image747.jpeg"/><Relationship Id="rId747" Type="http://schemas.openxmlformats.org/officeDocument/2006/relationships/image" Target="media/image746.jpeg"/><Relationship Id="rId746" Type="http://schemas.openxmlformats.org/officeDocument/2006/relationships/image" Target="media/image745.jpeg"/><Relationship Id="rId745" Type="http://schemas.openxmlformats.org/officeDocument/2006/relationships/image" Target="media/image744.jpeg"/><Relationship Id="rId744" Type="http://schemas.openxmlformats.org/officeDocument/2006/relationships/image" Target="media/image743.jpeg"/><Relationship Id="rId743" Type="http://schemas.openxmlformats.org/officeDocument/2006/relationships/image" Target="media/image742.jpeg"/><Relationship Id="rId742" Type="http://schemas.openxmlformats.org/officeDocument/2006/relationships/image" Target="media/image741.jpeg"/><Relationship Id="rId741" Type="http://schemas.openxmlformats.org/officeDocument/2006/relationships/image" Target="media/image740.jpeg"/><Relationship Id="rId740" Type="http://schemas.openxmlformats.org/officeDocument/2006/relationships/image" Target="media/image739.jpeg"/><Relationship Id="rId74" Type="http://schemas.openxmlformats.org/officeDocument/2006/relationships/image" Target="media/image73.png"/><Relationship Id="rId739" Type="http://schemas.openxmlformats.org/officeDocument/2006/relationships/image" Target="media/image738.jpeg"/><Relationship Id="rId738" Type="http://schemas.openxmlformats.org/officeDocument/2006/relationships/image" Target="media/image737.jpeg"/><Relationship Id="rId737" Type="http://schemas.openxmlformats.org/officeDocument/2006/relationships/image" Target="media/image736.jpeg"/><Relationship Id="rId736" Type="http://schemas.openxmlformats.org/officeDocument/2006/relationships/image" Target="media/image735.jpeg"/><Relationship Id="rId735" Type="http://schemas.openxmlformats.org/officeDocument/2006/relationships/image" Target="media/image734.jpeg"/><Relationship Id="rId734" Type="http://schemas.openxmlformats.org/officeDocument/2006/relationships/image" Target="media/image733.jpeg"/><Relationship Id="rId733" Type="http://schemas.openxmlformats.org/officeDocument/2006/relationships/image" Target="media/image732.jpeg"/><Relationship Id="rId732" Type="http://schemas.openxmlformats.org/officeDocument/2006/relationships/image" Target="media/image731.jpeg"/><Relationship Id="rId731" Type="http://schemas.openxmlformats.org/officeDocument/2006/relationships/image" Target="media/image730.jpeg"/><Relationship Id="rId730" Type="http://schemas.openxmlformats.org/officeDocument/2006/relationships/image" Target="media/image729.jpeg"/><Relationship Id="rId73" Type="http://schemas.openxmlformats.org/officeDocument/2006/relationships/image" Target="media/image72.png"/><Relationship Id="rId729" Type="http://schemas.openxmlformats.org/officeDocument/2006/relationships/image" Target="media/image728.jpeg"/><Relationship Id="rId728" Type="http://schemas.openxmlformats.org/officeDocument/2006/relationships/image" Target="media/image727.jpeg"/><Relationship Id="rId727" Type="http://schemas.openxmlformats.org/officeDocument/2006/relationships/image" Target="media/image726.jpeg"/><Relationship Id="rId726" Type="http://schemas.openxmlformats.org/officeDocument/2006/relationships/image" Target="media/image725.jpeg"/><Relationship Id="rId725" Type="http://schemas.openxmlformats.org/officeDocument/2006/relationships/image" Target="media/image724.jpeg"/><Relationship Id="rId724" Type="http://schemas.openxmlformats.org/officeDocument/2006/relationships/image" Target="media/image723.jpeg"/><Relationship Id="rId723" Type="http://schemas.openxmlformats.org/officeDocument/2006/relationships/image" Target="media/image722.jpeg"/><Relationship Id="rId722" Type="http://schemas.openxmlformats.org/officeDocument/2006/relationships/image" Target="media/image721.jpeg"/><Relationship Id="rId721" Type="http://schemas.openxmlformats.org/officeDocument/2006/relationships/image" Target="media/image720.jpeg"/><Relationship Id="rId720" Type="http://schemas.openxmlformats.org/officeDocument/2006/relationships/image" Target="media/image719.jpeg"/><Relationship Id="rId72" Type="http://schemas.openxmlformats.org/officeDocument/2006/relationships/image" Target="media/image71.png"/><Relationship Id="rId719" Type="http://schemas.openxmlformats.org/officeDocument/2006/relationships/image" Target="media/image718.jpeg"/><Relationship Id="rId718" Type="http://schemas.openxmlformats.org/officeDocument/2006/relationships/image" Target="media/image717.jpeg"/><Relationship Id="rId717" Type="http://schemas.openxmlformats.org/officeDocument/2006/relationships/image" Target="media/image716.jpeg"/><Relationship Id="rId716" Type="http://schemas.openxmlformats.org/officeDocument/2006/relationships/image" Target="media/image715.jpeg"/><Relationship Id="rId715" Type="http://schemas.openxmlformats.org/officeDocument/2006/relationships/image" Target="media/image714.jpeg"/><Relationship Id="rId714" Type="http://schemas.openxmlformats.org/officeDocument/2006/relationships/image" Target="media/image713.jpeg"/><Relationship Id="rId713" Type="http://schemas.openxmlformats.org/officeDocument/2006/relationships/image" Target="media/image712.jpeg"/><Relationship Id="rId712" Type="http://schemas.openxmlformats.org/officeDocument/2006/relationships/image" Target="media/image711.jpeg"/><Relationship Id="rId711" Type="http://schemas.openxmlformats.org/officeDocument/2006/relationships/image" Target="media/image710.jpeg"/><Relationship Id="rId710" Type="http://schemas.openxmlformats.org/officeDocument/2006/relationships/image" Target="media/image709.jpeg"/><Relationship Id="rId71" Type="http://schemas.openxmlformats.org/officeDocument/2006/relationships/image" Target="media/image70.png"/><Relationship Id="rId709" Type="http://schemas.openxmlformats.org/officeDocument/2006/relationships/image" Target="media/image708.jpeg"/><Relationship Id="rId708" Type="http://schemas.openxmlformats.org/officeDocument/2006/relationships/image" Target="media/image707.jpeg"/><Relationship Id="rId707" Type="http://schemas.openxmlformats.org/officeDocument/2006/relationships/image" Target="media/image706.jpeg"/><Relationship Id="rId706" Type="http://schemas.openxmlformats.org/officeDocument/2006/relationships/image" Target="media/image705.jpeg"/><Relationship Id="rId705" Type="http://schemas.openxmlformats.org/officeDocument/2006/relationships/image" Target="media/image704.jpeg"/><Relationship Id="rId704" Type="http://schemas.openxmlformats.org/officeDocument/2006/relationships/image" Target="media/image703.jpeg"/><Relationship Id="rId703" Type="http://schemas.openxmlformats.org/officeDocument/2006/relationships/image" Target="media/image702.png"/><Relationship Id="rId702" Type="http://schemas.openxmlformats.org/officeDocument/2006/relationships/image" Target="media/image701.png"/><Relationship Id="rId701" Type="http://schemas.openxmlformats.org/officeDocument/2006/relationships/image" Target="media/image700.png"/><Relationship Id="rId700" Type="http://schemas.openxmlformats.org/officeDocument/2006/relationships/image" Target="media/image699.png"/><Relationship Id="rId70" Type="http://schemas.openxmlformats.org/officeDocument/2006/relationships/image" Target="media/image69.png"/><Relationship Id="rId7" Type="http://schemas.openxmlformats.org/officeDocument/2006/relationships/image" Target="media/image6.png"/><Relationship Id="rId699" Type="http://schemas.openxmlformats.org/officeDocument/2006/relationships/image" Target="media/image698.png"/><Relationship Id="rId698" Type="http://schemas.openxmlformats.org/officeDocument/2006/relationships/image" Target="media/image697.png"/><Relationship Id="rId697" Type="http://schemas.openxmlformats.org/officeDocument/2006/relationships/image" Target="media/image696.png"/><Relationship Id="rId696" Type="http://schemas.openxmlformats.org/officeDocument/2006/relationships/image" Target="media/image695.png"/><Relationship Id="rId695" Type="http://schemas.openxmlformats.org/officeDocument/2006/relationships/image" Target="media/image694.png"/><Relationship Id="rId694" Type="http://schemas.openxmlformats.org/officeDocument/2006/relationships/image" Target="media/image693.png"/><Relationship Id="rId693" Type="http://schemas.openxmlformats.org/officeDocument/2006/relationships/image" Target="media/image692.png"/><Relationship Id="rId692" Type="http://schemas.openxmlformats.org/officeDocument/2006/relationships/image" Target="media/image691.png"/><Relationship Id="rId691" Type="http://schemas.openxmlformats.org/officeDocument/2006/relationships/image" Target="media/image690.png"/><Relationship Id="rId690" Type="http://schemas.openxmlformats.org/officeDocument/2006/relationships/image" Target="media/image689.png"/><Relationship Id="rId69" Type="http://schemas.openxmlformats.org/officeDocument/2006/relationships/image" Target="media/image68.png"/><Relationship Id="rId689" Type="http://schemas.openxmlformats.org/officeDocument/2006/relationships/image" Target="media/image688.png"/><Relationship Id="rId688" Type="http://schemas.openxmlformats.org/officeDocument/2006/relationships/image" Target="media/image687.png"/><Relationship Id="rId687" Type="http://schemas.openxmlformats.org/officeDocument/2006/relationships/image" Target="media/image686.png"/><Relationship Id="rId686" Type="http://schemas.openxmlformats.org/officeDocument/2006/relationships/image" Target="media/image685.png"/><Relationship Id="rId685" Type="http://schemas.openxmlformats.org/officeDocument/2006/relationships/image" Target="media/image684.png"/><Relationship Id="rId684" Type="http://schemas.openxmlformats.org/officeDocument/2006/relationships/image" Target="media/image683.png"/><Relationship Id="rId683" Type="http://schemas.openxmlformats.org/officeDocument/2006/relationships/image" Target="media/image682.png"/><Relationship Id="rId682" Type="http://schemas.openxmlformats.org/officeDocument/2006/relationships/image" Target="media/image681.png"/><Relationship Id="rId681" Type="http://schemas.openxmlformats.org/officeDocument/2006/relationships/image" Target="media/image680.png"/><Relationship Id="rId680" Type="http://schemas.openxmlformats.org/officeDocument/2006/relationships/image" Target="media/image679.png"/><Relationship Id="rId68" Type="http://schemas.openxmlformats.org/officeDocument/2006/relationships/image" Target="media/image67.png"/><Relationship Id="rId679" Type="http://schemas.openxmlformats.org/officeDocument/2006/relationships/image" Target="media/image678.png"/><Relationship Id="rId678" Type="http://schemas.openxmlformats.org/officeDocument/2006/relationships/image" Target="media/image677.png"/><Relationship Id="rId677" Type="http://schemas.openxmlformats.org/officeDocument/2006/relationships/image" Target="media/image676.png"/><Relationship Id="rId676" Type="http://schemas.openxmlformats.org/officeDocument/2006/relationships/image" Target="media/image675.png"/><Relationship Id="rId675" Type="http://schemas.openxmlformats.org/officeDocument/2006/relationships/image" Target="media/image674.png"/><Relationship Id="rId674" Type="http://schemas.openxmlformats.org/officeDocument/2006/relationships/image" Target="media/image673.png"/><Relationship Id="rId673" Type="http://schemas.openxmlformats.org/officeDocument/2006/relationships/image" Target="media/image672.png"/><Relationship Id="rId672" Type="http://schemas.openxmlformats.org/officeDocument/2006/relationships/image" Target="media/image671.png"/><Relationship Id="rId671" Type="http://schemas.openxmlformats.org/officeDocument/2006/relationships/image" Target="media/image670.png"/><Relationship Id="rId670" Type="http://schemas.openxmlformats.org/officeDocument/2006/relationships/image" Target="media/image669.png"/><Relationship Id="rId67" Type="http://schemas.openxmlformats.org/officeDocument/2006/relationships/image" Target="media/image66.png"/><Relationship Id="rId669" Type="http://schemas.openxmlformats.org/officeDocument/2006/relationships/image" Target="media/image668.png"/><Relationship Id="rId668" Type="http://schemas.openxmlformats.org/officeDocument/2006/relationships/image" Target="media/image667.png"/><Relationship Id="rId667" Type="http://schemas.openxmlformats.org/officeDocument/2006/relationships/image" Target="media/image666.png"/><Relationship Id="rId666" Type="http://schemas.openxmlformats.org/officeDocument/2006/relationships/image" Target="media/image665.png"/><Relationship Id="rId665" Type="http://schemas.openxmlformats.org/officeDocument/2006/relationships/image" Target="media/image664.png"/><Relationship Id="rId664" Type="http://schemas.openxmlformats.org/officeDocument/2006/relationships/image" Target="media/image663.png"/><Relationship Id="rId663" Type="http://schemas.openxmlformats.org/officeDocument/2006/relationships/image" Target="media/image662.png"/><Relationship Id="rId662" Type="http://schemas.openxmlformats.org/officeDocument/2006/relationships/image" Target="media/image661.png"/><Relationship Id="rId661" Type="http://schemas.openxmlformats.org/officeDocument/2006/relationships/image" Target="media/image660.png"/><Relationship Id="rId660" Type="http://schemas.openxmlformats.org/officeDocument/2006/relationships/image" Target="media/image659.png"/><Relationship Id="rId66" Type="http://schemas.openxmlformats.org/officeDocument/2006/relationships/image" Target="media/image65.png"/><Relationship Id="rId659" Type="http://schemas.openxmlformats.org/officeDocument/2006/relationships/image" Target="media/image658.png"/><Relationship Id="rId658" Type="http://schemas.openxmlformats.org/officeDocument/2006/relationships/image" Target="media/image657.png"/><Relationship Id="rId657" Type="http://schemas.openxmlformats.org/officeDocument/2006/relationships/image" Target="media/image656.png"/><Relationship Id="rId656" Type="http://schemas.openxmlformats.org/officeDocument/2006/relationships/image" Target="media/image655.png"/><Relationship Id="rId655" Type="http://schemas.openxmlformats.org/officeDocument/2006/relationships/image" Target="media/image654.png"/><Relationship Id="rId654" Type="http://schemas.openxmlformats.org/officeDocument/2006/relationships/image" Target="media/image653.png"/><Relationship Id="rId653" Type="http://schemas.openxmlformats.org/officeDocument/2006/relationships/image" Target="media/image652.png"/><Relationship Id="rId652" Type="http://schemas.openxmlformats.org/officeDocument/2006/relationships/image" Target="media/image651.png"/><Relationship Id="rId651" Type="http://schemas.openxmlformats.org/officeDocument/2006/relationships/image" Target="media/image650.png"/><Relationship Id="rId650" Type="http://schemas.openxmlformats.org/officeDocument/2006/relationships/image" Target="media/image649.png"/><Relationship Id="rId65" Type="http://schemas.openxmlformats.org/officeDocument/2006/relationships/image" Target="media/image64.png"/><Relationship Id="rId649" Type="http://schemas.openxmlformats.org/officeDocument/2006/relationships/image" Target="media/image648.png"/><Relationship Id="rId648" Type="http://schemas.openxmlformats.org/officeDocument/2006/relationships/image" Target="media/image647.png"/><Relationship Id="rId647" Type="http://schemas.openxmlformats.org/officeDocument/2006/relationships/image" Target="media/image646.png"/><Relationship Id="rId646" Type="http://schemas.openxmlformats.org/officeDocument/2006/relationships/image" Target="media/image645.png"/><Relationship Id="rId645" Type="http://schemas.openxmlformats.org/officeDocument/2006/relationships/image" Target="media/image644.png"/><Relationship Id="rId644" Type="http://schemas.openxmlformats.org/officeDocument/2006/relationships/image" Target="media/image643.png"/><Relationship Id="rId643" Type="http://schemas.openxmlformats.org/officeDocument/2006/relationships/image" Target="media/image642.png"/><Relationship Id="rId642" Type="http://schemas.openxmlformats.org/officeDocument/2006/relationships/image" Target="media/image641.png"/><Relationship Id="rId641" Type="http://schemas.openxmlformats.org/officeDocument/2006/relationships/image" Target="media/image640.png"/><Relationship Id="rId640" Type="http://schemas.openxmlformats.org/officeDocument/2006/relationships/image" Target="media/image639.png"/><Relationship Id="rId64" Type="http://schemas.openxmlformats.org/officeDocument/2006/relationships/image" Target="media/image63.png"/><Relationship Id="rId639" Type="http://schemas.openxmlformats.org/officeDocument/2006/relationships/image" Target="media/image638.png"/><Relationship Id="rId638" Type="http://schemas.openxmlformats.org/officeDocument/2006/relationships/image" Target="media/image637.png"/><Relationship Id="rId637" Type="http://schemas.openxmlformats.org/officeDocument/2006/relationships/image" Target="media/image636.png"/><Relationship Id="rId636" Type="http://schemas.openxmlformats.org/officeDocument/2006/relationships/image" Target="media/image635.png"/><Relationship Id="rId635" Type="http://schemas.openxmlformats.org/officeDocument/2006/relationships/image" Target="media/image634.png"/><Relationship Id="rId634" Type="http://schemas.openxmlformats.org/officeDocument/2006/relationships/image" Target="media/image633.png"/><Relationship Id="rId633" Type="http://schemas.openxmlformats.org/officeDocument/2006/relationships/image" Target="media/image632.png"/><Relationship Id="rId632" Type="http://schemas.openxmlformats.org/officeDocument/2006/relationships/image" Target="media/image631.png"/><Relationship Id="rId631" Type="http://schemas.openxmlformats.org/officeDocument/2006/relationships/image" Target="media/image630.png"/><Relationship Id="rId630" Type="http://schemas.openxmlformats.org/officeDocument/2006/relationships/image" Target="media/image629.png"/><Relationship Id="rId63" Type="http://schemas.openxmlformats.org/officeDocument/2006/relationships/image" Target="media/image62.png"/><Relationship Id="rId629" Type="http://schemas.openxmlformats.org/officeDocument/2006/relationships/image" Target="media/image628.png"/><Relationship Id="rId628" Type="http://schemas.openxmlformats.org/officeDocument/2006/relationships/image" Target="media/image627.png"/><Relationship Id="rId627" Type="http://schemas.openxmlformats.org/officeDocument/2006/relationships/image" Target="media/image626.png"/><Relationship Id="rId626" Type="http://schemas.openxmlformats.org/officeDocument/2006/relationships/image" Target="media/image625.png"/><Relationship Id="rId625" Type="http://schemas.openxmlformats.org/officeDocument/2006/relationships/image" Target="media/image624.png"/><Relationship Id="rId624" Type="http://schemas.openxmlformats.org/officeDocument/2006/relationships/image" Target="media/image623.png"/><Relationship Id="rId623" Type="http://schemas.openxmlformats.org/officeDocument/2006/relationships/image" Target="media/image622.png"/><Relationship Id="rId622" Type="http://schemas.openxmlformats.org/officeDocument/2006/relationships/image" Target="media/image621.png"/><Relationship Id="rId621" Type="http://schemas.openxmlformats.org/officeDocument/2006/relationships/image" Target="media/image620.png"/><Relationship Id="rId620" Type="http://schemas.openxmlformats.org/officeDocument/2006/relationships/image" Target="media/image619.png"/><Relationship Id="rId62" Type="http://schemas.openxmlformats.org/officeDocument/2006/relationships/image" Target="media/image61.png"/><Relationship Id="rId619" Type="http://schemas.openxmlformats.org/officeDocument/2006/relationships/image" Target="media/image618.png"/><Relationship Id="rId618" Type="http://schemas.openxmlformats.org/officeDocument/2006/relationships/image" Target="media/image617.png"/><Relationship Id="rId617" Type="http://schemas.openxmlformats.org/officeDocument/2006/relationships/image" Target="media/image616.png"/><Relationship Id="rId616" Type="http://schemas.openxmlformats.org/officeDocument/2006/relationships/image" Target="media/image615.png"/><Relationship Id="rId615" Type="http://schemas.openxmlformats.org/officeDocument/2006/relationships/image" Target="media/image614.png"/><Relationship Id="rId614" Type="http://schemas.openxmlformats.org/officeDocument/2006/relationships/image" Target="media/image613.png"/><Relationship Id="rId613" Type="http://schemas.openxmlformats.org/officeDocument/2006/relationships/image" Target="media/image612.png"/><Relationship Id="rId612" Type="http://schemas.openxmlformats.org/officeDocument/2006/relationships/image" Target="media/image611.png"/><Relationship Id="rId611" Type="http://schemas.openxmlformats.org/officeDocument/2006/relationships/image" Target="media/image610.png"/><Relationship Id="rId610" Type="http://schemas.openxmlformats.org/officeDocument/2006/relationships/image" Target="media/image609.png"/><Relationship Id="rId61" Type="http://schemas.openxmlformats.org/officeDocument/2006/relationships/image" Target="media/image60.png"/><Relationship Id="rId609" Type="http://schemas.openxmlformats.org/officeDocument/2006/relationships/image" Target="media/image608.png"/><Relationship Id="rId608" Type="http://schemas.openxmlformats.org/officeDocument/2006/relationships/image" Target="media/image607.png"/><Relationship Id="rId607" Type="http://schemas.openxmlformats.org/officeDocument/2006/relationships/image" Target="media/image606.png"/><Relationship Id="rId606" Type="http://schemas.openxmlformats.org/officeDocument/2006/relationships/image" Target="media/image605.png"/><Relationship Id="rId605" Type="http://schemas.openxmlformats.org/officeDocument/2006/relationships/image" Target="media/image604.png"/><Relationship Id="rId604" Type="http://schemas.openxmlformats.org/officeDocument/2006/relationships/image" Target="media/image603.png"/><Relationship Id="rId603" Type="http://schemas.openxmlformats.org/officeDocument/2006/relationships/image" Target="media/image602.png"/><Relationship Id="rId602" Type="http://schemas.openxmlformats.org/officeDocument/2006/relationships/image" Target="media/image601.png"/><Relationship Id="rId601" Type="http://schemas.openxmlformats.org/officeDocument/2006/relationships/image" Target="media/image600.png"/><Relationship Id="rId600" Type="http://schemas.openxmlformats.org/officeDocument/2006/relationships/image" Target="media/image599.png"/><Relationship Id="rId60" Type="http://schemas.openxmlformats.org/officeDocument/2006/relationships/image" Target="media/image59.png"/><Relationship Id="rId6" Type="http://schemas.openxmlformats.org/officeDocument/2006/relationships/image" Target="media/image5.png"/><Relationship Id="rId599" Type="http://schemas.openxmlformats.org/officeDocument/2006/relationships/image" Target="media/image598.png"/><Relationship Id="rId598" Type="http://schemas.openxmlformats.org/officeDocument/2006/relationships/image" Target="media/image597.png"/><Relationship Id="rId597" Type="http://schemas.openxmlformats.org/officeDocument/2006/relationships/image" Target="media/image596.png"/><Relationship Id="rId596" Type="http://schemas.openxmlformats.org/officeDocument/2006/relationships/image" Target="media/image595.png"/><Relationship Id="rId595" Type="http://schemas.openxmlformats.org/officeDocument/2006/relationships/image" Target="media/image594.png"/><Relationship Id="rId594" Type="http://schemas.openxmlformats.org/officeDocument/2006/relationships/image" Target="media/image593.png"/><Relationship Id="rId593" Type="http://schemas.openxmlformats.org/officeDocument/2006/relationships/image" Target="media/image592.png"/><Relationship Id="rId592" Type="http://schemas.openxmlformats.org/officeDocument/2006/relationships/image" Target="media/image591.png"/><Relationship Id="rId591" Type="http://schemas.openxmlformats.org/officeDocument/2006/relationships/image" Target="media/image590.png"/><Relationship Id="rId590" Type="http://schemas.openxmlformats.org/officeDocument/2006/relationships/image" Target="media/image589.png"/><Relationship Id="rId59" Type="http://schemas.openxmlformats.org/officeDocument/2006/relationships/image" Target="media/image58.png"/><Relationship Id="rId589" Type="http://schemas.openxmlformats.org/officeDocument/2006/relationships/image" Target="media/image588.png"/><Relationship Id="rId588" Type="http://schemas.openxmlformats.org/officeDocument/2006/relationships/image" Target="media/image587.png"/><Relationship Id="rId587" Type="http://schemas.openxmlformats.org/officeDocument/2006/relationships/image" Target="media/image586.png"/><Relationship Id="rId586" Type="http://schemas.openxmlformats.org/officeDocument/2006/relationships/image" Target="media/image585.png"/><Relationship Id="rId585" Type="http://schemas.openxmlformats.org/officeDocument/2006/relationships/image" Target="media/image584.png"/><Relationship Id="rId584" Type="http://schemas.openxmlformats.org/officeDocument/2006/relationships/image" Target="media/image583.png"/><Relationship Id="rId583" Type="http://schemas.openxmlformats.org/officeDocument/2006/relationships/image" Target="media/image582.png"/><Relationship Id="rId582" Type="http://schemas.openxmlformats.org/officeDocument/2006/relationships/image" Target="media/image581.png"/><Relationship Id="rId581" Type="http://schemas.openxmlformats.org/officeDocument/2006/relationships/image" Target="media/image580.png"/><Relationship Id="rId580" Type="http://schemas.openxmlformats.org/officeDocument/2006/relationships/image" Target="media/image579.png"/><Relationship Id="rId58" Type="http://schemas.openxmlformats.org/officeDocument/2006/relationships/image" Target="media/image57.png"/><Relationship Id="rId579" Type="http://schemas.openxmlformats.org/officeDocument/2006/relationships/image" Target="media/image578.png"/><Relationship Id="rId578" Type="http://schemas.openxmlformats.org/officeDocument/2006/relationships/image" Target="media/image577.png"/><Relationship Id="rId577" Type="http://schemas.openxmlformats.org/officeDocument/2006/relationships/image" Target="media/image576.png"/><Relationship Id="rId576" Type="http://schemas.openxmlformats.org/officeDocument/2006/relationships/image" Target="media/image575.png"/><Relationship Id="rId575" Type="http://schemas.openxmlformats.org/officeDocument/2006/relationships/image" Target="media/image574.png"/><Relationship Id="rId574" Type="http://schemas.openxmlformats.org/officeDocument/2006/relationships/image" Target="media/image573.png"/><Relationship Id="rId573" Type="http://schemas.openxmlformats.org/officeDocument/2006/relationships/image" Target="media/image572.png"/><Relationship Id="rId572" Type="http://schemas.openxmlformats.org/officeDocument/2006/relationships/image" Target="media/image571.png"/><Relationship Id="rId571" Type="http://schemas.openxmlformats.org/officeDocument/2006/relationships/image" Target="media/image570.png"/><Relationship Id="rId570" Type="http://schemas.openxmlformats.org/officeDocument/2006/relationships/image" Target="media/image569.png"/><Relationship Id="rId57" Type="http://schemas.openxmlformats.org/officeDocument/2006/relationships/image" Target="media/image56.png"/><Relationship Id="rId569" Type="http://schemas.openxmlformats.org/officeDocument/2006/relationships/image" Target="media/image568.png"/><Relationship Id="rId568" Type="http://schemas.openxmlformats.org/officeDocument/2006/relationships/image" Target="media/image567.png"/><Relationship Id="rId567" Type="http://schemas.openxmlformats.org/officeDocument/2006/relationships/image" Target="media/image566.png"/><Relationship Id="rId566" Type="http://schemas.openxmlformats.org/officeDocument/2006/relationships/image" Target="media/image565.png"/><Relationship Id="rId565" Type="http://schemas.openxmlformats.org/officeDocument/2006/relationships/image" Target="media/image564.png"/><Relationship Id="rId564" Type="http://schemas.openxmlformats.org/officeDocument/2006/relationships/image" Target="media/image563.png"/><Relationship Id="rId563" Type="http://schemas.openxmlformats.org/officeDocument/2006/relationships/image" Target="media/image562.png"/><Relationship Id="rId562" Type="http://schemas.openxmlformats.org/officeDocument/2006/relationships/image" Target="media/image561.png"/><Relationship Id="rId561" Type="http://schemas.openxmlformats.org/officeDocument/2006/relationships/image" Target="media/image560.png"/><Relationship Id="rId560" Type="http://schemas.openxmlformats.org/officeDocument/2006/relationships/image" Target="media/image559.png"/><Relationship Id="rId56" Type="http://schemas.openxmlformats.org/officeDocument/2006/relationships/image" Target="media/image55.png"/><Relationship Id="rId559" Type="http://schemas.openxmlformats.org/officeDocument/2006/relationships/image" Target="media/image558.png"/><Relationship Id="rId558" Type="http://schemas.openxmlformats.org/officeDocument/2006/relationships/image" Target="media/image557.png"/><Relationship Id="rId557" Type="http://schemas.openxmlformats.org/officeDocument/2006/relationships/image" Target="media/image556.png"/><Relationship Id="rId556" Type="http://schemas.openxmlformats.org/officeDocument/2006/relationships/image" Target="media/image555.png"/><Relationship Id="rId555" Type="http://schemas.openxmlformats.org/officeDocument/2006/relationships/image" Target="media/image554.png"/><Relationship Id="rId554" Type="http://schemas.openxmlformats.org/officeDocument/2006/relationships/image" Target="media/image553.png"/><Relationship Id="rId553" Type="http://schemas.openxmlformats.org/officeDocument/2006/relationships/image" Target="media/image552.png"/><Relationship Id="rId552" Type="http://schemas.openxmlformats.org/officeDocument/2006/relationships/image" Target="media/image551.png"/><Relationship Id="rId551" Type="http://schemas.openxmlformats.org/officeDocument/2006/relationships/image" Target="media/image550.png"/><Relationship Id="rId550" Type="http://schemas.openxmlformats.org/officeDocument/2006/relationships/image" Target="media/image549.png"/><Relationship Id="rId55" Type="http://schemas.openxmlformats.org/officeDocument/2006/relationships/image" Target="media/image54.png"/><Relationship Id="rId549" Type="http://schemas.openxmlformats.org/officeDocument/2006/relationships/image" Target="media/image548.png"/><Relationship Id="rId548" Type="http://schemas.openxmlformats.org/officeDocument/2006/relationships/image" Target="media/image547.png"/><Relationship Id="rId547" Type="http://schemas.openxmlformats.org/officeDocument/2006/relationships/image" Target="media/image546.png"/><Relationship Id="rId546" Type="http://schemas.openxmlformats.org/officeDocument/2006/relationships/image" Target="media/image545.png"/><Relationship Id="rId545" Type="http://schemas.openxmlformats.org/officeDocument/2006/relationships/image" Target="media/image544.png"/><Relationship Id="rId544" Type="http://schemas.openxmlformats.org/officeDocument/2006/relationships/image" Target="media/image543.png"/><Relationship Id="rId543" Type="http://schemas.openxmlformats.org/officeDocument/2006/relationships/image" Target="media/image542.png"/><Relationship Id="rId542" Type="http://schemas.openxmlformats.org/officeDocument/2006/relationships/image" Target="media/image541.png"/><Relationship Id="rId541" Type="http://schemas.openxmlformats.org/officeDocument/2006/relationships/image" Target="media/image540.png"/><Relationship Id="rId540" Type="http://schemas.openxmlformats.org/officeDocument/2006/relationships/image" Target="media/image539.png"/><Relationship Id="rId54" Type="http://schemas.openxmlformats.org/officeDocument/2006/relationships/image" Target="media/image53.png"/><Relationship Id="rId539" Type="http://schemas.openxmlformats.org/officeDocument/2006/relationships/image" Target="media/image538.png"/><Relationship Id="rId538" Type="http://schemas.openxmlformats.org/officeDocument/2006/relationships/image" Target="media/image537.png"/><Relationship Id="rId537" Type="http://schemas.openxmlformats.org/officeDocument/2006/relationships/image" Target="media/image536.png"/><Relationship Id="rId536" Type="http://schemas.openxmlformats.org/officeDocument/2006/relationships/image" Target="media/image535.png"/><Relationship Id="rId535" Type="http://schemas.openxmlformats.org/officeDocument/2006/relationships/image" Target="media/image534.png"/><Relationship Id="rId534" Type="http://schemas.openxmlformats.org/officeDocument/2006/relationships/image" Target="media/image533.png"/><Relationship Id="rId533" Type="http://schemas.openxmlformats.org/officeDocument/2006/relationships/image" Target="media/image532.png"/><Relationship Id="rId532" Type="http://schemas.openxmlformats.org/officeDocument/2006/relationships/image" Target="media/image531.png"/><Relationship Id="rId531" Type="http://schemas.openxmlformats.org/officeDocument/2006/relationships/image" Target="media/image530.png"/><Relationship Id="rId530" Type="http://schemas.openxmlformats.org/officeDocument/2006/relationships/image" Target="media/image529.png"/><Relationship Id="rId53" Type="http://schemas.openxmlformats.org/officeDocument/2006/relationships/image" Target="media/image52.png"/><Relationship Id="rId529" Type="http://schemas.openxmlformats.org/officeDocument/2006/relationships/image" Target="media/image528.png"/><Relationship Id="rId528" Type="http://schemas.openxmlformats.org/officeDocument/2006/relationships/image" Target="media/image527.png"/><Relationship Id="rId527" Type="http://schemas.openxmlformats.org/officeDocument/2006/relationships/image" Target="media/image526.png"/><Relationship Id="rId526" Type="http://schemas.openxmlformats.org/officeDocument/2006/relationships/image" Target="media/image525.png"/><Relationship Id="rId525" Type="http://schemas.openxmlformats.org/officeDocument/2006/relationships/image" Target="media/image524.png"/><Relationship Id="rId524" Type="http://schemas.openxmlformats.org/officeDocument/2006/relationships/image" Target="media/image523.png"/><Relationship Id="rId523" Type="http://schemas.openxmlformats.org/officeDocument/2006/relationships/image" Target="media/image522.png"/><Relationship Id="rId522" Type="http://schemas.openxmlformats.org/officeDocument/2006/relationships/image" Target="media/image521.png"/><Relationship Id="rId521" Type="http://schemas.openxmlformats.org/officeDocument/2006/relationships/image" Target="media/image520.png"/><Relationship Id="rId520" Type="http://schemas.openxmlformats.org/officeDocument/2006/relationships/image" Target="media/image519.png"/><Relationship Id="rId52" Type="http://schemas.openxmlformats.org/officeDocument/2006/relationships/image" Target="media/image51.png"/><Relationship Id="rId519" Type="http://schemas.openxmlformats.org/officeDocument/2006/relationships/image" Target="media/image518.png"/><Relationship Id="rId518" Type="http://schemas.openxmlformats.org/officeDocument/2006/relationships/image" Target="media/image517.png"/><Relationship Id="rId517" Type="http://schemas.openxmlformats.org/officeDocument/2006/relationships/image" Target="media/image516.png"/><Relationship Id="rId516" Type="http://schemas.openxmlformats.org/officeDocument/2006/relationships/image" Target="media/image515.png"/><Relationship Id="rId515" Type="http://schemas.openxmlformats.org/officeDocument/2006/relationships/image" Target="media/image514.png"/><Relationship Id="rId514" Type="http://schemas.openxmlformats.org/officeDocument/2006/relationships/image" Target="media/image513.png"/><Relationship Id="rId513" Type="http://schemas.openxmlformats.org/officeDocument/2006/relationships/image" Target="media/image512.png"/><Relationship Id="rId512" Type="http://schemas.openxmlformats.org/officeDocument/2006/relationships/image" Target="media/image511.png"/><Relationship Id="rId511" Type="http://schemas.openxmlformats.org/officeDocument/2006/relationships/image" Target="media/image510.png"/><Relationship Id="rId510" Type="http://schemas.openxmlformats.org/officeDocument/2006/relationships/image" Target="media/image509.png"/><Relationship Id="rId51" Type="http://schemas.openxmlformats.org/officeDocument/2006/relationships/image" Target="media/image50.png"/><Relationship Id="rId509" Type="http://schemas.openxmlformats.org/officeDocument/2006/relationships/image" Target="media/image508.png"/><Relationship Id="rId508" Type="http://schemas.openxmlformats.org/officeDocument/2006/relationships/image" Target="media/image507.png"/><Relationship Id="rId507" Type="http://schemas.openxmlformats.org/officeDocument/2006/relationships/image" Target="media/image506.png"/><Relationship Id="rId506" Type="http://schemas.openxmlformats.org/officeDocument/2006/relationships/image" Target="media/image505.png"/><Relationship Id="rId505" Type="http://schemas.openxmlformats.org/officeDocument/2006/relationships/image" Target="media/image504.png"/><Relationship Id="rId504" Type="http://schemas.openxmlformats.org/officeDocument/2006/relationships/image" Target="media/image503.png"/><Relationship Id="rId503" Type="http://schemas.openxmlformats.org/officeDocument/2006/relationships/image" Target="media/image502.png"/><Relationship Id="rId502" Type="http://schemas.openxmlformats.org/officeDocument/2006/relationships/image" Target="media/image501.png"/><Relationship Id="rId501" Type="http://schemas.openxmlformats.org/officeDocument/2006/relationships/image" Target="media/image500.png"/><Relationship Id="rId500" Type="http://schemas.openxmlformats.org/officeDocument/2006/relationships/image" Target="media/image499.png"/><Relationship Id="rId50" Type="http://schemas.openxmlformats.org/officeDocument/2006/relationships/image" Target="media/image49.png"/><Relationship Id="rId5" Type="http://schemas.openxmlformats.org/officeDocument/2006/relationships/image" Target="media/image4.png"/><Relationship Id="rId499" Type="http://schemas.openxmlformats.org/officeDocument/2006/relationships/image" Target="media/image498.png"/><Relationship Id="rId498" Type="http://schemas.openxmlformats.org/officeDocument/2006/relationships/image" Target="media/image497.png"/><Relationship Id="rId497" Type="http://schemas.openxmlformats.org/officeDocument/2006/relationships/image" Target="media/image496.png"/><Relationship Id="rId496" Type="http://schemas.openxmlformats.org/officeDocument/2006/relationships/image" Target="media/image495.png"/><Relationship Id="rId495" Type="http://schemas.openxmlformats.org/officeDocument/2006/relationships/image" Target="media/image494.png"/><Relationship Id="rId494" Type="http://schemas.openxmlformats.org/officeDocument/2006/relationships/image" Target="media/image493.png"/><Relationship Id="rId493" Type="http://schemas.openxmlformats.org/officeDocument/2006/relationships/image" Target="media/image492.png"/><Relationship Id="rId492" Type="http://schemas.openxmlformats.org/officeDocument/2006/relationships/image" Target="media/image491.png"/><Relationship Id="rId491" Type="http://schemas.openxmlformats.org/officeDocument/2006/relationships/image" Target="media/image490.png"/><Relationship Id="rId490" Type="http://schemas.openxmlformats.org/officeDocument/2006/relationships/image" Target="media/image489.png"/><Relationship Id="rId49" Type="http://schemas.openxmlformats.org/officeDocument/2006/relationships/image" Target="media/image48.png"/><Relationship Id="rId489" Type="http://schemas.openxmlformats.org/officeDocument/2006/relationships/image" Target="media/image488.png"/><Relationship Id="rId488" Type="http://schemas.openxmlformats.org/officeDocument/2006/relationships/image" Target="media/image487.png"/><Relationship Id="rId487" Type="http://schemas.openxmlformats.org/officeDocument/2006/relationships/image" Target="media/image486.png"/><Relationship Id="rId486" Type="http://schemas.openxmlformats.org/officeDocument/2006/relationships/image" Target="media/image485.png"/><Relationship Id="rId485" Type="http://schemas.openxmlformats.org/officeDocument/2006/relationships/image" Target="media/image484.png"/><Relationship Id="rId484" Type="http://schemas.openxmlformats.org/officeDocument/2006/relationships/image" Target="media/image483.png"/><Relationship Id="rId483" Type="http://schemas.openxmlformats.org/officeDocument/2006/relationships/image" Target="media/image482.png"/><Relationship Id="rId482" Type="http://schemas.openxmlformats.org/officeDocument/2006/relationships/image" Target="media/image481.png"/><Relationship Id="rId481" Type="http://schemas.openxmlformats.org/officeDocument/2006/relationships/image" Target="media/image480.png"/><Relationship Id="rId480" Type="http://schemas.openxmlformats.org/officeDocument/2006/relationships/image" Target="media/image479.png"/><Relationship Id="rId48" Type="http://schemas.openxmlformats.org/officeDocument/2006/relationships/image" Target="media/image47.png"/><Relationship Id="rId479" Type="http://schemas.openxmlformats.org/officeDocument/2006/relationships/image" Target="media/image478.png"/><Relationship Id="rId478" Type="http://schemas.openxmlformats.org/officeDocument/2006/relationships/image" Target="media/image477.png"/><Relationship Id="rId477" Type="http://schemas.openxmlformats.org/officeDocument/2006/relationships/image" Target="media/image476.png"/><Relationship Id="rId476" Type="http://schemas.openxmlformats.org/officeDocument/2006/relationships/image" Target="media/image475.png"/><Relationship Id="rId475" Type="http://schemas.openxmlformats.org/officeDocument/2006/relationships/image" Target="media/image474.png"/><Relationship Id="rId474" Type="http://schemas.openxmlformats.org/officeDocument/2006/relationships/image" Target="media/image473.png"/><Relationship Id="rId473" Type="http://schemas.openxmlformats.org/officeDocument/2006/relationships/image" Target="media/image472.png"/><Relationship Id="rId472" Type="http://schemas.openxmlformats.org/officeDocument/2006/relationships/image" Target="media/image471.png"/><Relationship Id="rId471" Type="http://schemas.openxmlformats.org/officeDocument/2006/relationships/image" Target="media/image470.png"/><Relationship Id="rId470" Type="http://schemas.openxmlformats.org/officeDocument/2006/relationships/image" Target="media/image469.png"/><Relationship Id="rId47" Type="http://schemas.openxmlformats.org/officeDocument/2006/relationships/image" Target="media/image46.png"/><Relationship Id="rId469" Type="http://schemas.openxmlformats.org/officeDocument/2006/relationships/image" Target="media/image468.png"/><Relationship Id="rId468" Type="http://schemas.openxmlformats.org/officeDocument/2006/relationships/image" Target="media/image467.png"/><Relationship Id="rId467" Type="http://schemas.openxmlformats.org/officeDocument/2006/relationships/image" Target="media/image466.png"/><Relationship Id="rId466" Type="http://schemas.openxmlformats.org/officeDocument/2006/relationships/image" Target="media/image465.png"/><Relationship Id="rId465" Type="http://schemas.openxmlformats.org/officeDocument/2006/relationships/image" Target="media/image464.png"/><Relationship Id="rId464" Type="http://schemas.openxmlformats.org/officeDocument/2006/relationships/image" Target="media/image463.png"/><Relationship Id="rId463" Type="http://schemas.openxmlformats.org/officeDocument/2006/relationships/image" Target="media/image462.png"/><Relationship Id="rId462" Type="http://schemas.openxmlformats.org/officeDocument/2006/relationships/image" Target="media/image461.png"/><Relationship Id="rId461" Type="http://schemas.openxmlformats.org/officeDocument/2006/relationships/image" Target="media/image460.png"/><Relationship Id="rId460" Type="http://schemas.openxmlformats.org/officeDocument/2006/relationships/image" Target="media/image459.png"/><Relationship Id="rId46" Type="http://schemas.openxmlformats.org/officeDocument/2006/relationships/image" Target="media/image45.png"/><Relationship Id="rId459" Type="http://schemas.openxmlformats.org/officeDocument/2006/relationships/image" Target="media/image458.png"/><Relationship Id="rId458" Type="http://schemas.openxmlformats.org/officeDocument/2006/relationships/image" Target="media/image457.png"/><Relationship Id="rId457" Type="http://schemas.openxmlformats.org/officeDocument/2006/relationships/image" Target="media/image456.png"/><Relationship Id="rId456" Type="http://schemas.openxmlformats.org/officeDocument/2006/relationships/image" Target="media/image455.png"/><Relationship Id="rId455" Type="http://schemas.openxmlformats.org/officeDocument/2006/relationships/image" Target="media/image454.png"/><Relationship Id="rId454" Type="http://schemas.openxmlformats.org/officeDocument/2006/relationships/image" Target="media/image453.png"/><Relationship Id="rId453" Type="http://schemas.openxmlformats.org/officeDocument/2006/relationships/image" Target="media/image452.png"/><Relationship Id="rId452" Type="http://schemas.openxmlformats.org/officeDocument/2006/relationships/image" Target="media/image451.png"/><Relationship Id="rId451" Type="http://schemas.openxmlformats.org/officeDocument/2006/relationships/image" Target="media/image450.png"/><Relationship Id="rId450" Type="http://schemas.openxmlformats.org/officeDocument/2006/relationships/image" Target="media/image449.png"/><Relationship Id="rId45" Type="http://schemas.openxmlformats.org/officeDocument/2006/relationships/image" Target="media/image44.png"/><Relationship Id="rId449" Type="http://schemas.openxmlformats.org/officeDocument/2006/relationships/image" Target="media/image448.png"/><Relationship Id="rId448" Type="http://schemas.openxmlformats.org/officeDocument/2006/relationships/image" Target="media/image447.png"/><Relationship Id="rId447" Type="http://schemas.openxmlformats.org/officeDocument/2006/relationships/image" Target="media/image446.png"/><Relationship Id="rId446" Type="http://schemas.openxmlformats.org/officeDocument/2006/relationships/image" Target="media/image445.png"/><Relationship Id="rId445" Type="http://schemas.openxmlformats.org/officeDocument/2006/relationships/image" Target="media/image444.png"/><Relationship Id="rId444" Type="http://schemas.openxmlformats.org/officeDocument/2006/relationships/image" Target="media/image443.png"/><Relationship Id="rId443" Type="http://schemas.openxmlformats.org/officeDocument/2006/relationships/image" Target="media/image442.png"/><Relationship Id="rId442" Type="http://schemas.openxmlformats.org/officeDocument/2006/relationships/image" Target="media/image441.png"/><Relationship Id="rId441" Type="http://schemas.openxmlformats.org/officeDocument/2006/relationships/image" Target="media/image440.png"/><Relationship Id="rId440" Type="http://schemas.openxmlformats.org/officeDocument/2006/relationships/image" Target="media/image439.png"/><Relationship Id="rId44" Type="http://schemas.openxmlformats.org/officeDocument/2006/relationships/image" Target="media/image43.png"/><Relationship Id="rId439" Type="http://schemas.openxmlformats.org/officeDocument/2006/relationships/image" Target="media/image438.png"/><Relationship Id="rId438" Type="http://schemas.openxmlformats.org/officeDocument/2006/relationships/image" Target="media/image437.png"/><Relationship Id="rId437" Type="http://schemas.openxmlformats.org/officeDocument/2006/relationships/image" Target="media/image436.png"/><Relationship Id="rId436" Type="http://schemas.openxmlformats.org/officeDocument/2006/relationships/image" Target="media/image435.png"/><Relationship Id="rId435" Type="http://schemas.openxmlformats.org/officeDocument/2006/relationships/image" Target="media/image434.png"/><Relationship Id="rId434" Type="http://schemas.openxmlformats.org/officeDocument/2006/relationships/image" Target="media/image433.png"/><Relationship Id="rId433" Type="http://schemas.openxmlformats.org/officeDocument/2006/relationships/image" Target="media/image432.png"/><Relationship Id="rId432" Type="http://schemas.openxmlformats.org/officeDocument/2006/relationships/image" Target="media/image431.png"/><Relationship Id="rId431" Type="http://schemas.openxmlformats.org/officeDocument/2006/relationships/image" Target="media/image430.png"/><Relationship Id="rId430" Type="http://schemas.openxmlformats.org/officeDocument/2006/relationships/image" Target="media/image429.png"/><Relationship Id="rId43" Type="http://schemas.openxmlformats.org/officeDocument/2006/relationships/image" Target="media/image42.png"/><Relationship Id="rId429" Type="http://schemas.openxmlformats.org/officeDocument/2006/relationships/image" Target="media/image428.png"/><Relationship Id="rId428" Type="http://schemas.openxmlformats.org/officeDocument/2006/relationships/image" Target="media/image427.png"/><Relationship Id="rId427" Type="http://schemas.openxmlformats.org/officeDocument/2006/relationships/image" Target="media/image426.png"/><Relationship Id="rId426" Type="http://schemas.openxmlformats.org/officeDocument/2006/relationships/image" Target="media/image425.png"/><Relationship Id="rId425" Type="http://schemas.openxmlformats.org/officeDocument/2006/relationships/image" Target="media/image424.png"/><Relationship Id="rId424" Type="http://schemas.openxmlformats.org/officeDocument/2006/relationships/image" Target="media/image423.png"/><Relationship Id="rId423" Type="http://schemas.openxmlformats.org/officeDocument/2006/relationships/image" Target="media/image422.png"/><Relationship Id="rId422" Type="http://schemas.openxmlformats.org/officeDocument/2006/relationships/image" Target="media/image421.png"/><Relationship Id="rId421" Type="http://schemas.openxmlformats.org/officeDocument/2006/relationships/image" Target="media/image420.png"/><Relationship Id="rId420" Type="http://schemas.openxmlformats.org/officeDocument/2006/relationships/image" Target="media/image419.png"/><Relationship Id="rId42" Type="http://schemas.openxmlformats.org/officeDocument/2006/relationships/image" Target="media/image41.png"/><Relationship Id="rId419" Type="http://schemas.openxmlformats.org/officeDocument/2006/relationships/image" Target="media/image418.png"/><Relationship Id="rId418" Type="http://schemas.openxmlformats.org/officeDocument/2006/relationships/image" Target="media/image417.png"/><Relationship Id="rId417" Type="http://schemas.openxmlformats.org/officeDocument/2006/relationships/image" Target="media/image416.png"/><Relationship Id="rId416" Type="http://schemas.openxmlformats.org/officeDocument/2006/relationships/image" Target="media/image415.png"/><Relationship Id="rId415" Type="http://schemas.openxmlformats.org/officeDocument/2006/relationships/image" Target="media/image414.png"/><Relationship Id="rId414" Type="http://schemas.openxmlformats.org/officeDocument/2006/relationships/image" Target="media/image413.png"/><Relationship Id="rId413" Type="http://schemas.openxmlformats.org/officeDocument/2006/relationships/image" Target="media/image412.png"/><Relationship Id="rId412" Type="http://schemas.openxmlformats.org/officeDocument/2006/relationships/image" Target="media/image411.png"/><Relationship Id="rId411" Type="http://schemas.openxmlformats.org/officeDocument/2006/relationships/image" Target="media/image410.png"/><Relationship Id="rId410" Type="http://schemas.openxmlformats.org/officeDocument/2006/relationships/image" Target="media/image409.png"/><Relationship Id="rId41" Type="http://schemas.openxmlformats.org/officeDocument/2006/relationships/image" Target="media/image40.png"/><Relationship Id="rId409" Type="http://schemas.openxmlformats.org/officeDocument/2006/relationships/image" Target="media/image408.png"/><Relationship Id="rId408" Type="http://schemas.openxmlformats.org/officeDocument/2006/relationships/image" Target="media/image407.png"/><Relationship Id="rId407" Type="http://schemas.openxmlformats.org/officeDocument/2006/relationships/image" Target="media/image406.png"/><Relationship Id="rId406" Type="http://schemas.openxmlformats.org/officeDocument/2006/relationships/image" Target="media/image405.png"/><Relationship Id="rId405" Type="http://schemas.openxmlformats.org/officeDocument/2006/relationships/image" Target="media/image404.png"/><Relationship Id="rId404" Type="http://schemas.openxmlformats.org/officeDocument/2006/relationships/image" Target="media/image403.png"/><Relationship Id="rId403" Type="http://schemas.openxmlformats.org/officeDocument/2006/relationships/image" Target="media/image402.png"/><Relationship Id="rId402" Type="http://schemas.openxmlformats.org/officeDocument/2006/relationships/image" Target="media/image401.png"/><Relationship Id="rId401" Type="http://schemas.openxmlformats.org/officeDocument/2006/relationships/image" Target="media/image400.png"/><Relationship Id="rId400" Type="http://schemas.openxmlformats.org/officeDocument/2006/relationships/image" Target="media/image399.png"/><Relationship Id="rId40" Type="http://schemas.openxmlformats.org/officeDocument/2006/relationships/image" Target="media/image39.png"/><Relationship Id="rId4" Type="http://schemas.openxmlformats.org/officeDocument/2006/relationships/image" Target="media/image3.png"/><Relationship Id="rId399" Type="http://schemas.openxmlformats.org/officeDocument/2006/relationships/image" Target="media/image398.png"/><Relationship Id="rId398" Type="http://schemas.openxmlformats.org/officeDocument/2006/relationships/image" Target="media/image397.png"/><Relationship Id="rId397" Type="http://schemas.openxmlformats.org/officeDocument/2006/relationships/image" Target="media/image396.png"/><Relationship Id="rId396" Type="http://schemas.openxmlformats.org/officeDocument/2006/relationships/image" Target="media/image395.png"/><Relationship Id="rId395" Type="http://schemas.openxmlformats.org/officeDocument/2006/relationships/image" Target="media/image394.png"/><Relationship Id="rId394" Type="http://schemas.openxmlformats.org/officeDocument/2006/relationships/image" Target="media/image393.png"/><Relationship Id="rId393" Type="http://schemas.openxmlformats.org/officeDocument/2006/relationships/image" Target="media/image392.png"/><Relationship Id="rId392" Type="http://schemas.openxmlformats.org/officeDocument/2006/relationships/image" Target="media/image391.png"/><Relationship Id="rId391" Type="http://schemas.openxmlformats.org/officeDocument/2006/relationships/image" Target="media/image390.png"/><Relationship Id="rId390" Type="http://schemas.openxmlformats.org/officeDocument/2006/relationships/image" Target="media/image389.png"/><Relationship Id="rId39" Type="http://schemas.openxmlformats.org/officeDocument/2006/relationships/image" Target="media/image38.png"/><Relationship Id="rId389" Type="http://schemas.openxmlformats.org/officeDocument/2006/relationships/image" Target="media/image388.png"/><Relationship Id="rId388" Type="http://schemas.openxmlformats.org/officeDocument/2006/relationships/image" Target="media/image387.png"/><Relationship Id="rId387" Type="http://schemas.openxmlformats.org/officeDocument/2006/relationships/image" Target="media/image386.png"/><Relationship Id="rId386" Type="http://schemas.openxmlformats.org/officeDocument/2006/relationships/image" Target="media/image385.png"/><Relationship Id="rId385" Type="http://schemas.openxmlformats.org/officeDocument/2006/relationships/image" Target="media/image384.png"/><Relationship Id="rId384" Type="http://schemas.openxmlformats.org/officeDocument/2006/relationships/image" Target="media/image383.png"/><Relationship Id="rId383" Type="http://schemas.openxmlformats.org/officeDocument/2006/relationships/image" Target="media/image382.png"/><Relationship Id="rId382" Type="http://schemas.openxmlformats.org/officeDocument/2006/relationships/image" Target="media/image381.png"/><Relationship Id="rId381" Type="http://schemas.openxmlformats.org/officeDocument/2006/relationships/image" Target="media/image380.png"/><Relationship Id="rId380" Type="http://schemas.openxmlformats.org/officeDocument/2006/relationships/image" Target="media/image379.png"/><Relationship Id="rId38" Type="http://schemas.openxmlformats.org/officeDocument/2006/relationships/image" Target="media/image37.png"/><Relationship Id="rId379" Type="http://schemas.openxmlformats.org/officeDocument/2006/relationships/image" Target="media/image378.png"/><Relationship Id="rId378" Type="http://schemas.openxmlformats.org/officeDocument/2006/relationships/image" Target="media/image377.png"/><Relationship Id="rId377" Type="http://schemas.openxmlformats.org/officeDocument/2006/relationships/image" Target="media/image376.png"/><Relationship Id="rId376" Type="http://schemas.openxmlformats.org/officeDocument/2006/relationships/image" Target="media/image375.png"/><Relationship Id="rId375" Type="http://schemas.openxmlformats.org/officeDocument/2006/relationships/image" Target="media/image374.png"/><Relationship Id="rId374" Type="http://schemas.openxmlformats.org/officeDocument/2006/relationships/image" Target="media/image373.png"/><Relationship Id="rId373" Type="http://schemas.openxmlformats.org/officeDocument/2006/relationships/image" Target="media/image372.png"/><Relationship Id="rId372" Type="http://schemas.openxmlformats.org/officeDocument/2006/relationships/image" Target="media/image371.png"/><Relationship Id="rId371" Type="http://schemas.openxmlformats.org/officeDocument/2006/relationships/image" Target="media/image370.png"/><Relationship Id="rId370" Type="http://schemas.openxmlformats.org/officeDocument/2006/relationships/image" Target="media/image369.png"/><Relationship Id="rId37" Type="http://schemas.openxmlformats.org/officeDocument/2006/relationships/image" Target="media/image36.png"/><Relationship Id="rId369" Type="http://schemas.openxmlformats.org/officeDocument/2006/relationships/image" Target="media/image368.png"/><Relationship Id="rId368" Type="http://schemas.openxmlformats.org/officeDocument/2006/relationships/image" Target="media/image367.png"/><Relationship Id="rId367" Type="http://schemas.openxmlformats.org/officeDocument/2006/relationships/image" Target="media/image366.png"/><Relationship Id="rId366" Type="http://schemas.openxmlformats.org/officeDocument/2006/relationships/image" Target="media/image365.png"/><Relationship Id="rId365" Type="http://schemas.openxmlformats.org/officeDocument/2006/relationships/image" Target="media/image364.png"/><Relationship Id="rId364" Type="http://schemas.openxmlformats.org/officeDocument/2006/relationships/image" Target="media/image363.png"/><Relationship Id="rId363" Type="http://schemas.openxmlformats.org/officeDocument/2006/relationships/image" Target="media/image362.png"/><Relationship Id="rId362" Type="http://schemas.openxmlformats.org/officeDocument/2006/relationships/image" Target="media/image361.png"/><Relationship Id="rId361" Type="http://schemas.openxmlformats.org/officeDocument/2006/relationships/image" Target="media/image360.png"/><Relationship Id="rId360" Type="http://schemas.openxmlformats.org/officeDocument/2006/relationships/image" Target="media/image359.png"/><Relationship Id="rId36" Type="http://schemas.openxmlformats.org/officeDocument/2006/relationships/image" Target="media/image35.png"/><Relationship Id="rId359" Type="http://schemas.openxmlformats.org/officeDocument/2006/relationships/image" Target="media/image358.png"/><Relationship Id="rId358" Type="http://schemas.openxmlformats.org/officeDocument/2006/relationships/image" Target="media/image357.png"/><Relationship Id="rId357" Type="http://schemas.openxmlformats.org/officeDocument/2006/relationships/image" Target="media/image356.png"/><Relationship Id="rId356" Type="http://schemas.openxmlformats.org/officeDocument/2006/relationships/image" Target="media/image355.png"/><Relationship Id="rId355" Type="http://schemas.openxmlformats.org/officeDocument/2006/relationships/image" Target="media/image354.png"/><Relationship Id="rId354" Type="http://schemas.openxmlformats.org/officeDocument/2006/relationships/image" Target="media/image353.png"/><Relationship Id="rId353" Type="http://schemas.openxmlformats.org/officeDocument/2006/relationships/image" Target="media/image352.png"/><Relationship Id="rId352" Type="http://schemas.openxmlformats.org/officeDocument/2006/relationships/image" Target="media/image351.png"/><Relationship Id="rId351" Type="http://schemas.openxmlformats.org/officeDocument/2006/relationships/image" Target="media/image350.png"/><Relationship Id="rId350" Type="http://schemas.openxmlformats.org/officeDocument/2006/relationships/image" Target="media/image349.png"/><Relationship Id="rId35" Type="http://schemas.openxmlformats.org/officeDocument/2006/relationships/image" Target="media/image34.png"/><Relationship Id="rId349" Type="http://schemas.openxmlformats.org/officeDocument/2006/relationships/image" Target="media/image348.png"/><Relationship Id="rId348" Type="http://schemas.openxmlformats.org/officeDocument/2006/relationships/image" Target="media/image347.png"/><Relationship Id="rId347" Type="http://schemas.openxmlformats.org/officeDocument/2006/relationships/image" Target="media/image346.png"/><Relationship Id="rId346" Type="http://schemas.openxmlformats.org/officeDocument/2006/relationships/image" Target="media/image345.png"/><Relationship Id="rId345" Type="http://schemas.openxmlformats.org/officeDocument/2006/relationships/image" Target="media/image344.png"/><Relationship Id="rId344" Type="http://schemas.openxmlformats.org/officeDocument/2006/relationships/image" Target="media/image343.png"/><Relationship Id="rId343" Type="http://schemas.openxmlformats.org/officeDocument/2006/relationships/image" Target="media/image342.png"/><Relationship Id="rId342" Type="http://schemas.openxmlformats.org/officeDocument/2006/relationships/image" Target="media/image341.png"/><Relationship Id="rId341" Type="http://schemas.openxmlformats.org/officeDocument/2006/relationships/image" Target="media/image340.png"/><Relationship Id="rId340" Type="http://schemas.openxmlformats.org/officeDocument/2006/relationships/image" Target="media/image339.png"/><Relationship Id="rId34" Type="http://schemas.openxmlformats.org/officeDocument/2006/relationships/image" Target="media/image33.png"/><Relationship Id="rId339" Type="http://schemas.openxmlformats.org/officeDocument/2006/relationships/image" Target="media/image338.png"/><Relationship Id="rId338" Type="http://schemas.openxmlformats.org/officeDocument/2006/relationships/image" Target="media/image337.png"/><Relationship Id="rId337" Type="http://schemas.openxmlformats.org/officeDocument/2006/relationships/image" Target="media/image336.png"/><Relationship Id="rId336" Type="http://schemas.openxmlformats.org/officeDocument/2006/relationships/image" Target="media/image335.png"/><Relationship Id="rId335" Type="http://schemas.openxmlformats.org/officeDocument/2006/relationships/image" Target="media/image334.png"/><Relationship Id="rId334" Type="http://schemas.openxmlformats.org/officeDocument/2006/relationships/image" Target="media/image333.png"/><Relationship Id="rId333" Type="http://schemas.openxmlformats.org/officeDocument/2006/relationships/image" Target="media/image332.png"/><Relationship Id="rId332" Type="http://schemas.openxmlformats.org/officeDocument/2006/relationships/image" Target="media/image331.png"/><Relationship Id="rId331" Type="http://schemas.openxmlformats.org/officeDocument/2006/relationships/image" Target="media/image330.png"/><Relationship Id="rId330" Type="http://schemas.openxmlformats.org/officeDocument/2006/relationships/image" Target="media/image329.png"/><Relationship Id="rId33" Type="http://schemas.openxmlformats.org/officeDocument/2006/relationships/image" Target="media/image32.png"/><Relationship Id="rId329" Type="http://schemas.openxmlformats.org/officeDocument/2006/relationships/image" Target="media/image328.png"/><Relationship Id="rId328" Type="http://schemas.openxmlformats.org/officeDocument/2006/relationships/image" Target="media/image327.png"/><Relationship Id="rId327" Type="http://schemas.openxmlformats.org/officeDocument/2006/relationships/image" Target="media/image326.png"/><Relationship Id="rId326" Type="http://schemas.openxmlformats.org/officeDocument/2006/relationships/image" Target="media/image325.png"/><Relationship Id="rId325" Type="http://schemas.openxmlformats.org/officeDocument/2006/relationships/image" Target="media/image324.png"/><Relationship Id="rId324" Type="http://schemas.openxmlformats.org/officeDocument/2006/relationships/image" Target="media/image323.png"/><Relationship Id="rId323" Type="http://schemas.openxmlformats.org/officeDocument/2006/relationships/image" Target="media/image322.png"/><Relationship Id="rId322" Type="http://schemas.openxmlformats.org/officeDocument/2006/relationships/image" Target="media/image321.png"/><Relationship Id="rId321" Type="http://schemas.openxmlformats.org/officeDocument/2006/relationships/image" Target="media/image320.png"/><Relationship Id="rId320" Type="http://schemas.openxmlformats.org/officeDocument/2006/relationships/image" Target="media/image319.png"/><Relationship Id="rId32" Type="http://schemas.openxmlformats.org/officeDocument/2006/relationships/image" Target="media/image31.png"/><Relationship Id="rId319" Type="http://schemas.openxmlformats.org/officeDocument/2006/relationships/image" Target="media/image318.png"/><Relationship Id="rId318" Type="http://schemas.openxmlformats.org/officeDocument/2006/relationships/image" Target="media/image317.png"/><Relationship Id="rId317" Type="http://schemas.openxmlformats.org/officeDocument/2006/relationships/image" Target="media/image316.png"/><Relationship Id="rId316" Type="http://schemas.openxmlformats.org/officeDocument/2006/relationships/image" Target="media/image315.png"/><Relationship Id="rId315" Type="http://schemas.openxmlformats.org/officeDocument/2006/relationships/image" Target="media/image314.png"/><Relationship Id="rId314" Type="http://schemas.openxmlformats.org/officeDocument/2006/relationships/image" Target="media/image313.png"/><Relationship Id="rId313" Type="http://schemas.openxmlformats.org/officeDocument/2006/relationships/image" Target="media/image312.png"/><Relationship Id="rId312" Type="http://schemas.openxmlformats.org/officeDocument/2006/relationships/image" Target="media/image311.png"/><Relationship Id="rId311" Type="http://schemas.openxmlformats.org/officeDocument/2006/relationships/image" Target="media/image310.png"/><Relationship Id="rId310" Type="http://schemas.openxmlformats.org/officeDocument/2006/relationships/image" Target="media/image309.png"/><Relationship Id="rId31" Type="http://schemas.openxmlformats.org/officeDocument/2006/relationships/image" Target="media/image30.png"/><Relationship Id="rId309" Type="http://schemas.openxmlformats.org/officeDocument/2006/relationships/image" Target="media/image308.png"/><Relationship Id="rId308" Type="http://schemas.openxmlformats.org/officeDocument/2006/relationships/image" Target="media/image307.png"/><Relationship Id="rId307" Type="http://schemas.openxmlformats.org/officeDocument/2006/relationships/image" Target="media/image306.png"/><Relationship Id="rId306" Type="http://schemas.openxmlformats.org/officeDocument/2006/relationships/image" Target="media/image305.png"/><Relationship Id="rId305" Type="http://schemas.openxmlformats.org/officeDocument/2006/relationships/image" Target="media/image304.png"/><Relationship Id="rId304" Type="http://schemas.openxmlformats.org/officeDocument/2006/relationships/image" Target="media/image303.png"/><Relationship Id="rId303" Type="http://schemas.openxmlformats.org/officeDocument/2006/relationships/image" Target="media/image302.png"/><Relationship Id="rId302" Type="http://schemas.openxmlformats.org/officeDocument/2006/relationships/image" Target="media/image301.png"/><Relationship Id="rId301" Type="http://schemas.openxmlformats.org/officeDocument/2006/relationships/image" Target="media/image300.png"/><Relationship Id="rId300" Type="http://schemas.openxmlformats.org/officeDocument/2006/relationships/image" Target="media/image299.png"/><Relationship Id="rId30" Type="http://schemas.openxmlformats.org/officeDocument/2006/relationships/image" Target="media/image29.png"/><Relationship Id="rId3" Type="http://schemas.openxmlformats.org/officeDocument/2006/relationships/image" Target="media/image2.png"/><Relationship Id="rId299" Type="http://schemas.openxmlformats.org/officeDocument/2006/relationships/image" Target="media/image298.png"/><Relationship Id="rId298" Type="http://schemas.openxmlformats.org/officeDocument/2006/relationships/image" Target="media/image297.png"/><Relationship Id="rId297" Type="http://schemas.openxmlformats.org/officeDocument/2006/relationships/image" Target="media/image296.png"/><Relationship Id="rId296" Type="http://schemas.openxmlformats.org/officeDocument/2006/relationships/image" Target="media/image295.png"/><Relationship Id="rId295" Type="http://schemas.openxmlformats.org/officeDocument/2006/relationships/image" Target="media/image294.png"/><Relationship Id="rId294" Type="http://schemas.openxmlformats.org/officeDocument/2006/relationships/image" Target="media/image293.png"/><Relationship Id="rId293" Type="http://schemas.openxmlformats.org/officeDocument/2006/relationships/image" Target="media/image292.png"/><Relationship Id="rId292" Type="http://schemas.openxmlformats.org/officeDocument/2006/relationships/image" Target="media/image291.png"/><Relationship Id="rId291" Type="http://schemas.openxmlformats.org/officeDocument/2006/relationships/image" Target="media/image290.png"/><Relationship Id="rId290" Type="http://schemas.openxmlformats.org/officeDocument/2006/relationships/image" Target="media/image289.png"/><Relationship Id="rId29" Type="http://schemas.openxmlformats.org/officeDocument/2006/relationships/image" Target="media/image28.png"/><Relationship Id="rId289" Type="http://schemas.openxmlformats.org/officeDocument/2006/relationships/image" Target="media/image288.png"/><Relationship Id="rId288" Type="http://schemas.openxmlformats.org/officeDocument/2006/relationships/image" Target="media/image287.png"/><Relationship Id="rId287" Type="http://schemas.openxmlformats.org/officeDocument/2006/relationships/image" Target="media/image286.png"/><Relationship Id="rId286" Type="http://schemas.openxmlformats.org/officeDocument/2006/relationships/image" Target="media/image285.png"/><Relationship Id="rId285" Type="http://schemas.openxmlformats.org/officeDocument/2006/relationships/image" Target="media/image284.png"/><Relationship Id="rId284" Type="http://schemas.openxmlformats.org/officeDocument/2006/relationships/image" Target="media/image283.png"/><Relationship Id="rId283" Type="http://schemas.openxmlformats.org/officeDocument/2006/relationships/image" Target="media/image282.png"/><Relationship Id="rId282" Type="http://schemas.openxmlformats.org/officeDocument/2006/relationships/image" Target="media/image281.png"/><Relationship Id="rId281" Type="http://schemas.openxmlformats.org/officeDocument/2006/relationships/image" Target="media/image280.png"/><Relationship Id="rId280" Type="http://schemas.openxmlformats.org/officeDocument/2006/relationships/image" Target="media/image279.png"/><Relationship Id="rId28" Type="http://schemas.openxmlformats.org/officeDocument/2006/relationships/image" Target="media/image27.png"/><Relationship Id="rId279" Type="http://schemas.openxmlformats.org/officeDocument/2006/relationships/image" Target="media/image278.png"/><Relationship Id="rId278" Type="http://schemas.openxmlformats.org/officeDocument/2006/relationships/image" Target="media/image277.png"/><Relationship Id="rId277" Type="http://schemas.openxmlformats.org/officeDocument/2006/relationships/image" Target="media/image276.png"/><Relationship Id="rId276" Type="http://schemas.openxmlformats.org/officeDocument/2006/relationships/image" Target="media/image275.png"/><Relationship Id="rId275" Type="http://schemas.openxmlformats.org/officeDocument/2006/relationships/image" Target="media/image274.png"/><Relationship Id="rId274" Type="http://schemas.openxmlformats.org/officeDocument/2006/relationships/image" Target="media/image273.png"/><Relationship Id="rId273" Type="http://schemas.openxmlformats.org/officeDocument/2006/relationships/image" Target="media/image272.png"/><Relationship Id="rId272" Type="http://schemas.openxmlformats.org/officeDocument/2006/relationships/image" Target="media/image271.png"/><Relationship Id="rId271" Type="http://schemas.openxmlformats.org/officeDocument/2006/relationships/image" Target="media/image270.png"/><Relationship Id="rId270" Type="http://schemas.openxmlformats.org/officeDocument/2006/relationships/image" Target="media/image269.png"/><Relationship Id="rId27" Type="http://schemas.openxmlformats.org/officeDocument/2006/relationships/image" Target="media/image26.png"/><Relationship Id="rId269" Type="http://schemas.openxmlformats.org/officeDocument/2006/relationships/image" Target="media/image268.png"/><Relationship Id="rId268" Type="http://schemas.openxmlformats.org/officeDocument/2006/relationships/image" Target="media/image267.png"/><Relationship Id="rId267" Type="http://schemas.openxmlformats.org/officeDocument/2006/relationships/image" Target="media/image266.png"/><Relationship Id="rId266" Type="http://schemas.openxmlformats.org/officeDocument/2006/relationships/image" Target="media/image265.png"/><Relationship Id="rId265" Type="http://schemas.openxmlformats.org/officeDocument/2006/relationships/image" Target="media/image264.png"/><Relationship Id="rId264" Type="http://schemas.openxmlformats.org/officeDocument/2006/relationships/image" Target="media/image263.png"/><Relationship Id="rId263" Type="http://schemas.openxmlformats.org/officeDocument/2006/relationships/image" Target="media/image262.png"/><Relationship Id="rId262" Type="http://schemas.openxmlformats.org/officeDocument/2006/relationships/image" Target="media/image261.png"/><Relationship Id="rId261" Type="http://schemas.openxmlformats.org/officeDocument/2006/relationships/image" Target="media/image260.png"/><Relationship Id="rId260" Type="http://schemas.openxmlformats.org/officeDocument/2006/relationships/image" Target="media/image259.png"/><Relationship Id="rId26" Type="http://schemas.openxmlformats.org/officeDocument/2006/relationships/image" Target="media/image25.png"/><Relationship Id="rId259" Type="http://schemas.openxmlformats.org/officeDocument/2006/relationships/image" Target="media/image258.png"/><Relationship Id="rId258" Type="http://schemas.openxmlformats.org/officeDocument/2006/relationships/image" Target="media/image257.png"/><Relationship Id="rId257" Type="http://schemas.openxmlformats.org/officeDocument/2006/relationships/image" Target="media/image256.png"/><Relationship Id="rId256" Type="http://schemas.openxmlformats.org/officeDocument/2006/relationships/image" Target="media/image255.png"/><Relationship Id="rId255" Type="http://schemas.openxmlformats.org/officeDocument/2006/relationships/image" Target="media/image254.png"/><Relationship Id="rId254" Type="http://schemas.openxmlformats.org/officeDocument/2006/relationships/image" Target="media/image253.png"/><Relationship Id="rId253" Type="http://schemas.openxmlformats.org/officeDocument/2006/relationships/image" Target="media/image252.png"/><Relationship Id="rId252" Type="http://schemas.openxmlformats.org/officeDocument/2006/relationships/image" Target="media/image251.png"/><Relationship Id="rId251" Type="http://schemas.openxmlformats.org/officeDocument/2006/relationships/image" Target="media/image250.png"/><Relationship Id="rId250" Type="http://schemas.openxmlformats.org/officeDocument/2006/relationships/image" Target="media/image249.png"/><Relationship Id="rId25" Type="http://schemas.openxmlformats.org/officeDocument/2006/relationships/image" Target="media/image24.png"/><Relationship Id="rId249" Type="http://schemas.openxmlformats.org/officeDocument/2006/relationships/image" Target="media/image248.png"/><Relationship Id="rId248" Type="http://schemas.openxmlformats.org/officeDocument/2006/relationships/image" Target="media/image247.png"/><Relationship Id="rId247" Type="http://schemas.openxmlformats.org/officeDocument/2006/relationships/image" Target="media/image246.png"/><Relationship Id="rId246" Type="http://schemas.openxmlformats.org/officeDocument/2006/relationships/image" Target="media/image245.png"/><Relationship Id="rId245" Type="http://schemas.openxmlformats.org/officeDocument/2006/relationships/image" Target="media/image244.png"/><Relationship Id="rId244" Type="http://schemas.openxmlformats.org/officeDocument/2006/relationships/image" Target="media/image243.png"/><Relationship Id="rId243" Type="http://schemas.openxmlformats.org/officeDocument/2006/relationships/image" Target="media/image242.png"/><Relationship Id="rId242" Type="http://schemas.openxmlformats.org/officeDocument/2006/relationships/image" Target="media/image241.png"/><Relationship Id="rId241" Type="http://schemas.openxmlformats.org/officeDocument/2006/relationships/image" Target="media/image240.png"/><Relationship Id="rId240" Type="http://schemas.openxmlformats.org/officeDocument/2006/relationships/image" Target="media/image239.png"/><Relationship Id="rId24" Type="http://schemas.openxmlformats.org/officeDocument/2006/relationships/image" Target="media/image23.png"/><Relationship Id="rId239" Type="http://schemas.openxmlformats.org/officeDocument/2006/relationships/image" Target="media/image238.png"/><Relationship Id="rId238" Type="http://schemas.openxmlformats.org/officeDocument/2006/relationships/image" Target="media/image237.png"/><Relationship Id="rId237" Type="http://schemas.openxmlformats.org/officeDocument/2006/relationships/image" Target="media/image236.png"/><Relationship Id="rId236" Type="http://schemas.openxmlformats.org/officeDocument/2006/relationships/image" Target="media/image235.png"/><Relationship Id="rId235" Type="http://schemas.openxmlformats.org/officeDocument/2006/relationships/image" Target="media/image234.png"/><Relationship Id="rId234" Type="http://schemas.openxmlformats.org/officeDocument/2006/relationships/image" Target="media/image233.png"/><Relationship Id="rId233" Type="http://schemas.openxmlformats.org/officeDocument/2006/relationships/image" Target="media/image232.png"/><Relationship Id="rId232" Type="http://schemas.openxmlformats.org/officeDocument/2006/relationships/image" Target="media/image231.png"/><Relationship Id="rId231" Type="http://schemas.openxmlformats.org/officeDocument/2006/relationships/image" Target="media/image230.png"/><Relationship Id="rId230" Type="http://schemas.openxmlformats.org/officeDocument/2006/relationships/image" Target="media/image229.png"/><Relationship Id="rId23" Type="http://schemas.openxmlformats.org/officeDocument/2006/relationships/image" Target="media/image22.png"/><Relationship Id="rId229" Type="http://schemas.openxmlformats.org/officeDocument/2006/relationships/image" Target="media/image228.png"/><Relationship Id="rId228" Type="http://schemas.openxmlformats.org/officeDocument/2006/relationships/image" Target="media/image227.png"/><Relationship Id="rId227" Type="http://schemas.openxmlformats.org/officeDocument/2006/relationships/image" Target="media/image226.png"/><Relationship Id="rId226" Type="http://schemas.openxmlformats.org/officeDocument/2006/relationships/image" Target="media/image225.png"/><Relationship Id="rId225" Type="http://schemas.openxmlformats.org/officeDocument/2006/relationships/image" Target="media/image224.png"/><Relationship Id="rId224" Type="http://schemas.openxmlformats.org/officeDocument/2006/relationships/image" Target="media/image223.png"/><Relationship Id="rId223" Type="http://schemas.openxmlformats.org/officeDocument/2006/relationships/image" Target="media/image222.png"/><Relationship Id="rId222" Type="http://schemas.openxmlformats.org/officeDocument/2006/relationships/image" Target="media/image221.png"/><Relationship Id="rId221" Type="http://schemas.openxmlformats.org/officeDocument/2006/relationships/image" Target="media/image220.png"/><Relationship Id="rId220" Type="http://schemas.openxmlformats.org/officeDocument/2006/relationships/image" Target="media/image219.png"/><Relationship Id="rId22" Type="http://schemas.openxmlformats.org/officeDocument/2006/relationships/image" Target="media/image21.png"/><Relationship Id="rId219" Type="http://schemas.openxmlformats.org/officeDocument/2006/relationships/image" Target="media/image218.png"/><Relationship Id="rId218" Type="http://schemas.openxmlformats.org/officeDocument/2006/relationships/image" Target="media/image217.png"/><Relationship Id="rId217" Type="http://schemas.openxmlformats.org/officeDocument/2006/relationships/image" Target="media/image216.png"/><Relationship Id="rId216" Type="http://schemas.openxmlformats.org/officeDocument/2006/relationships/image" Target="media/image215.png"/><Relationship Id="rId215" Type="http://schemas.openxmlformats.org/officeDocument/2006/relationships/image" Target="media/image214.png"/><Relationship Id="rId214" Type="http://schemas.openxmlformats.org/officeDocument/2006/relationships/image" Target="media/image213.png"/><Relationship Id="rId213" Type="http://schemas.openxmlformats.org/officeDocument/2006/relationships/image" Target="media/image212.png"/><Relationship Id="rId212" Type="http://schemas.openxmlformats.org/officeDocument/2006/relationships/image" Target="media/image211.png"/><Relationship Id="rId211" Type="http://schemas.openxmlformats.org/officeDocument/2006/relationships/image" Target="media/image210.png"/><Relationship Id="rId210" Type="http://schemas.openxmlformats.org/officeDocument/2006/relationships/image" Target="media/image209.png"/><Relationship Id="rId21" Type="http://schemas.openxmlformats.org/officeDocument/2006/relationships/image" Target="media/image20.png"/><Relationship Id="rId209" Type="http://schemas.openxmlformats.org/officeDocument/2006/relationships/image" Target="media/image208.png"/><Relationship Id="rId208" Type="http://schemas.openxmlformats.org/officeDocument/2006/relationships/image" Target="media/image207.png"/><Relationship Id="rId207" Type="http://schemas.openxmlformats.org/officeDocument/2006/relationships/image" Target="media/image206.png"/><Relationship Id="rId206" Type="http://schemas.openxmlformats.org/officeDocument/2006/relationships/image" Target="media/image205.png"/><Relationship Id="rId205" Type="http://schemas.openxmlformats.org/officeDocument/2006/relationships/image" Target="media/image204.png"/><Relationship Id="rId204" Type="http://schemas.openxmlformats.org/officeDocument/2006/relationships/image" Target="media/image203.png"/><Relationship Id="rId203" Type="http://schemas.openxmlformats.org/officeDocument/2006/relationships/image" Target="media/image202.png"/><Relationship Id="rId202" Type="http://schemas.openxmlformats.org/officeDocument/2006/relationships/image" Target="media/image201.png"/><Relationship Id="rId201" Type="http://schemas.openxmlformats.org/officeDocument/2006/relationships/image" Target="media/image200.png"/><Relationship Id="rId200" Type="http://schemas.openxmlformats.org/officeDocument/2006/relationships/image" Target="media/image199.png"/><Relationship Id="rId20" Type="http://schemas.openxmlformats.org/officeDocument/2006/relationships/image" Target="media/image19.png"/><Relationship Id="rId2" Type="http://schemas.openxmlformats.org/officeDocument/2006/relationships/image" Target="NULL" TargetMode="External"/><Relationship Id="rId199" Type="http://schemas.openxmlformats.org/officeDocument/2006/relationships/image" Target="media/image198.png"/><Relationship Id="rId198" Type="http://schemas.openxmlformats.org/officeDocument/2006/relationships/image" Target="media/image197.png"/><Relationship Id="rId197" Type="http://schemas.openxmlformats.org/officeDocument/2006/relationships/image" Target="media/image196.png"/><Relationship Id="rId196" Type="http://schemas.openxmlformats.org/officeDocument/2006/relationships/image" Target="media/image195.png"/><Relationship Id="rId195" Type="http://schemas.openxmlformats.org/officeDocument/2006/relationships/image" Target="media/image194.png"/><Relationship Id="rId194" Type="http://schemas.openxmlformats.org/officeDocument/2006/relationships/image" Target="media/image193.png"/><Relationship Id="rId193" Type="http://schemas.openxmlformats.org/officeDocument/2006/relationships/image" Target="media/image192.png"/><Relationship Id="rId192" Type="http://schemas.openxmlformats.org/officeDocument/2006/relationships/image" Target="media/image191.png"/><Relationship Id="rId191" Type="http://schemas.openxmlformats.org/officeDocument/2006/relationships/image" Target="media/image190.png"/><Relationship Id="rId190" Type="http://schemas.openxmlformats.org/officeDocument/2006/relationships/image" Target="media/image189.png"/><Relationship Id="rId19" Type="http://schemas.openxmlformats.org/officeDocument/2006/relationships/image" Target="media/image18.png"/><Relationship Id="rId189" Type="http://schemas.openxmlformats.org/officeDocument/2006/relationships/image" Target="media/image188.png"/><Relationship Id="rId188" Type="http://schemas.openxmlformats.org/officeDocument/2006/relationships/image" Target="media/image187.png"/><Relationship Id="rId187" Type="http://schemas.openxmlformats.org/officeDocument/2006/relationships/image" Target="media/image186.png"/><Relationship Id="rId186" Type="http://schemas.openxmlformats.org/officeDocument/2006/relationships/image" Target="media/image185.png"/><Relationship Id="rId185" Type="http://schemas.openxmlformats.org/officeDocument/2006/relationships/image" Target="media/image184.png"/><Relationship Id="rId184" Type="http://schemas.openxmlformats.org/officeDocument/2006/relationships/image" Target="media/image183.png"/><Relationship Id="rId183" Type="http://schemas.openxmlformats.org/officeDocument/2006/relationships/image" Target="media/image182.png"/><Relationship Id="rId182" Type="http://schemas.openxmlformats.org/officeDocument/2006/relationships/image" Target="media/image181.png"/><Relationship Id="rId181" Type="http://schemas.openxmlformats.org/officeDocument/2006/relationships/image" Target="media/image180.png"/><Relationship Id="rId180" Type="http://schemas.openxmlformats.org/officeDocument/2006/relationships/image" Target="media/image179.png"/><Relationship Id="rId18" Type="http://schemas.openxmlformats.org/officeDocument/2006/relationships/image" Target="media/image17.png"/><Relationship Id="rId179" Type="http://schemas.openxmlformats.org/officeDocument/2006/relationships/image" Target="media/image178.png"/><Relationship Id="rId178" Type="http://schemas.openxmlformats.org/officeDocument/2006/relationships/image" Target="media/image177.png"/><Relationship Id="rId177" Type="http://schemas.openxmlformats.org/officeDocument/2006/relationships/image" Target="media/image176.png"/><Relationship Id="rId176" Type="http://schemas.openxmlformats.org/officeDocument/2006/relationships/image" Target="media/image175.png"/><Relationship Id="rId175" Type="http://schemas.openxmlformats.org/officeDocument/2006/relationships/image" Target="media/image174.png"/><Relationship Id="rId174" Type="http://schemas.openxmlformats.org/officeDocument/2006/relationships/image" Target="media/image173.png"/><Relationship Id="rId173" Type="http://schemas.openxmlformats.org/officeDocument/2006/relationships/image" Target="media/image172.png"/><Relationship Id="rId172" Type="http://schemas.openxmlformats.org/officeDocument/2006/relationships/image" Target="media/image171.png"/><Relationship Id="rId171" Type="http://schemas.openxmlformats.org/officeDocument/2006/relationships/image" Target="media/image170.png"/><Relationship Id="rId170" Type="http://schemas.openxmlformats.org/officeDocument/2006/relationships/image" Target="media/image169.png"/><Relationship Id="rId17" Type="http://schemas.openxmlformats.org/officeDocument/2006/relationships/image" Target="media/image16.png"/><Relationship Id="rId169" Type="http://schemas.openxmlformats.org/officeDocument/2006/relationships/image" Target="media/image168.png"/><Relationship Id="rId168" Type="http://schemas.openxmlformats.org/officeDocument/2006/relationships/image" Target="media/image167.png"/><Relationship Id="rId167" Type="http://schemas.openxmlformats.org/officeDocument/2006/relationships/image" Target="media/image166.png"/><Relationship Id="rId166" Type="http://schemas.openxmlformats.org/officeDocument/2006/relationships/image" Target="media/image165.png"/><Relationship Id="rId165" Type="http://schemas.openxmlformats.org/officeDocument/2006/relationships/image" Target="media/image164.png"/><Relationship Id="rId164" Type="http://schemas.openxmlformats.org/officeDocument/2006/relationships/image" Target="media/image163.png"/><Relationship Id="rId163" Type="http://schemas.openxmlformats.org/officeDocument/2006/relationships/image" Target="media/image162.png"/><Relationship Id="rId162" Type="http://schemas.openxmlformats.org/officeDocument/2006/relationships/image" Target="media/image161.png"/><Relationship Id="rId161" Type="http://schemas.openxmlformats.org/officeDocument/2006/relationships/image" Target="media/image160.png"/><Relationship Id="rId160" Type="http://schemas.openxmlformats.org/officeDocument/2006/relationships/image" Target="media/image159.png"/><Relationship Id="rId16" Type="http://schemas.openxmlformats.org/officeDocument/2006/relationships/image" Target="media/image15.png"/><Relationship Id="rId159" Type="http://schemas.openxmlformats.org/officeDocument/2006/relationships/image" Target="media/image158.png"/><Relationship Id="rId158" Type="http://schemas.openxmlformats.org/officeDocument/2006/relationships/image" Target="media/image157.png"/><Relationship Id="rId157" Type="http://schemas.openxmlformats.org/officeDocument/2006/relationships/image" Target="media/image156.png"/><Relationship Id="rId156" Type="http://schemas.openxmlformats.org/officeDocument/2006/relationships/image" Target="media/image155.png"/><Relationship Id="rId155" Type="http://schemas.openxmlformats.org/officeDocument/2006/relationships/image" Target="media/image154.png"/><Relationship Id="rId154" Type="http://schemas.openxmlformats.org/officeDocument/2006/relationships/image" Target="media/image153.png"/><Relationship Id="rId153" Type="http://schemas.openxmlformats.org/officeDocument/2006/relationships/image" Target="media/image152.png"/><Relationship Id="rId152" Type="http://schemas.openxmlformats.org/officeDocument/2006/relationships/image" Target="media/image151.png"/><Relationship Id="rId151" Type="http://schemas.openxmlformats.org/officeDocument/2006/relationships/image" Target="media/image150.png"/><Relationship Id="rId150" Type="http://schemas.openxmlformats.org/officeDocument/2006/relationships/image" Target="media/image149.png"/><Relationship Id="rId15" Type="http://schemas.openxmlformats.org/officeDocument/2006/relationships/image" Target="media/image14.png"/><Relationship Id="rId149" Type="http://schemas.openxmlformats.org/officeDocument/2006/relationships/image" Target="media/image148.png"/><Relationship Id="rId148" Type="http://schemas.openxmlformats.org/officeDocument/2006/relationships/image" Target="media/image147.png"/><Relationship Id="rId147" Type="http://schemas.openxmlformats.org/officeDocument/2006/relationships/image" Target="media/image146.png"/><Relationship Id="rId146" Type="http://schemas.openxmlformats.org/officeDocument/2006/relationships/image" Target="media/image145.png"/><Relationship Id="rId145" Type="http://schemas.openxmlformats.org/officeDocument/2006/relationships/image" Target="media/image144.png"/><Relationship Id="rId144" Type="http://schemas.openxmlformats.org/officeDocument/2006/relationships/image" Target="media/image143.png"/><Relationship Id="rId143" Type="http://schemas.openxmlformats.org/officeDocument/2006/relationships/image" Target="media/image142.png"/><Relationship Id="rId142" Type="http://schemas.openxmlformats.org/officeDocument/2006/relationships/image" Target="media/image141.png"/><Relationship Id="rId141" Type="http://schemas.openxmlformats.org/officeDocument/2006/relationships/image" Target="media/image140.png"/><Relationship Id="rId140" Type="http://schemas.openxmlformats.org/officeDocument/2006/relationships/image" Target="media/image139.png"/><Relationship Id="rId14" Type="http://schemas.openxmlformats.org/officeDocument/2006/relationships/image" Target="media/image13.png"/><Relationship Id="rId139" Type="http://schemas.openxmlformats.org/officeDocument/2006/relationships/image" Target="media/image138.png"/><Relationship Id="rId138" Type="http://schemas.openxmlformats.org/officeDocument/2006/relationships/image" Target="media/image137.png"/><Relationship Id="rId137" Type="http://schemas.openxmlformats.org/officeDocument/2006/relationships/image" Target="media/image136.png"/><Relationship Id="rId136" Type="http://schemas.openxmlformats.org/officeDocument/2006/relationships/image" Target="media/image135.png"/><Relationship Id="rId135" Type="http://schemas.openxmlformats.org/officeDocument/2006/relationships/image" Target="media/image134.png"/><Relationship Id="rId134" Type="http://schemas.openxmlformats.org/officeDocument/2006/relationships/image" Target="media/image133.png"/><Relationship Id="rId133" Type="http://schemas.openxmlformats.org/officeDocument/2006/relationships/image" Target="media/image132.png"/><Relationship Id="rId132" Type="http://schemas.openxmlformats.org/officeDocument/2006/relationships/image" Target="media/image131.png"/><Relationship Id="rId131" Type="http://schemas.openxmlformats.org/officeDocument/2006/relationships/image" Target="media/image130.png"/><Relationship Id="rId130" Type="http://schemas.openxmlformats.org/officeDocument/2006/relationships/image" Target="media/image129.png"/><Relationship Id="rId13" Type="http://schemas.openxmlformats.org/officeDocument/2006/relationships/image" Target="media/image12.png"/><Relationship Id="rId129" Type="http://schemas.openxmlformats.org/officeDocument/2006/relationships/image" Target="media/image128.png"/><Relationship Id="rId128" Type="http://schemas.openxmlformats.org/officeDocument/2006/relationships/image" Target="media/image127.png"/><Relationship Id="rId127" Type="http://schemas.openxmlformats.org/officeDocument/2006/relationships/image" Target="media/image126.png"/><Relationship Id="rId126" Type="http://schemas.openxmlformats.org/officeDocument/2006/relationships/image" Target="media/image125.png"/><Relationship Id="rId125" Type="http://schemas.openxmlformats.org/officeDocument/2006/relationships/image" Target="media/image124.png"/><Relationship Id="rId124" Type="http://schemas.openxmlformats.org/officeDocument/2006/relationships/image" Target="media/image123.png"/><Relationship Id="rId123" Type="http://schemas.openxmlformats.org/officeDocument/2006/relationships/image" Target="media/image122.png"/><Relationship Id="rId122" Type="http://schemas.openxmlformats.org/officeDocument/2006/relationships/image" Target="media/image121.png"/><Relationship Id="rId121" Type="http://schemas.openxmlformats.org/officeDocument/2006/relationships/image" Target="media/image120.png"/><Relationship Id="rId120" Type="http://schemas.openxmlformats.org/officeDocument/2006/relationships/image" Target="media/image119.png"/><Relationship Id="rId12" Type="http://schemas.openxmlformats.org/officeDocument/2006/relationships/image" Target="media/image11.png"/><Relationship Id="rId119" Type="http://schemas.openxmlformats.org/officeDocument/2006/relationships/image" Target="media/image118.png"/><Relationship Id="rId118" Type="http://schemas.openxmlformats.org/officeDocument/2006/relationships/image" Target="media/image117.png"/><Relationship Id="rId117" Type="http://schemas.openxmlformats.org/officeDocument/2006/relationships/image" Target="media/image116.png"/><Relationship Id="rId116" Type="http://schemas.openxmlformats.org/officeDocument/2006/relationships/image" Target="media/image115.png"/><Relationship Id="rId115" Type="http://schemas.openxmlformats.org/officeDocument/2006/relationships/image" Target="media/image114.png"/><Relationship Id="rId114" Type="http://schemas.openxmlformats.org/officeDocument/2006/relationships/image" Target="media/image113.png"/><Relationship Id="rId113" Type="http://schemas.openxmlformats.org/officeDocument/2006/relationships/image" Target="media/image112.png"/><Relationship Id="rId112" Type="http://schemas.openxmlformats.org/officeDocument/2006/relationships/image" Target="media/image111.png"/><Relationship Id="rId111" Type="http://schemas.openxmlformats.org/officeDocument/2006/relationships/image" Target="media/image110.png"/><Relationship Id="rId110" Type="http://schemas.openxmlformats.org/officeDocument/2006/relationships/image" Target="media/image109.png"/><Relationship Id="rId11" Type="http://schemas.openxmlformats.org/officeDocument/2006/relationships/image" Target="media/image10.png"/><Relationship Id="rId109" Type="http://schemas.openxmlformats.org/officeDocument/2006/relationships/image" Target="media/image108.png"/><Relationship Id="rId108" Type="http://schemas.openxmlformats.org/officeDocument/2006/relationships/image" Target="media/image107.png"/><Relationship Id="rId107" Type="http://schemas.openxmlformats.org/officeDocument/2006/relationships/image" Target="media/image106.png"/><Relationship Id="rId106" Type="http://schemas.openxmlformats.org/officeDocument/2006/relationships/image" Target="media/image105.png"/><Relationship Id="rId105" Type="http://schemas.openxmlformats.org/officeDocument/2006/relationships/image" Target="media/image104.png"/><Relationship Id="rId104" Type="http://schemas.openxmlformats.org/officeDocument/2006/relationships/image" Target="media/image103.png"/><Relationship Id="rId103" Type="http://schemas.openxmlformats.org/officeDocument/2006/relationships/image" Target="media/image102.png"/><Relationship Id="rId102" Type="http://schemas.openxmlformats.org/officeDocument/2006/relationships/image" Target="media/image101.png"/><Relationship Id="rId101" Type="http://schemas.openxmlformats.org/officeDocument/2006/relationships/image" Target="media/image100.png"/><Relationship Id="rId100" Type="http://schemas.openxmlformats.org/officeDocument/2006/relationships/image" Target="media/image99.png"/><Relationship Id="rId10" Type="http://schemas.openxmlformats.org/officeDocument/2006/relationships/image" Target="media/image9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theme" Target="theme/theme1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2" Type="http://schemas.openxmlformats.org/officeDocument/2006/relationships/styles" Target="styles.xml"/><Relationship Id="rId11" Type="http://www.wps.cn/officeDocument/2020/cellImage" Target="cellimages.xml"/><Relationship Id="rId10" Type="http://schemas.openxmlformats.org/officeDocument/2006/relationships/sharedStrings" Target="sharedStrings.xml"/><Relationship Id="rId1" Type="http://schemas.openxmlformats.org/officeDocument/2006/relationships/worksheet" Target="worksheets/sheet1.xml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35</xdr:row>
      <xdr:rowOff>0</xdr:rowOff>
    </xdr:from>
    <xdr:to>
      <xdr:col>1</xdr:col>
      <xdr:colOff>304800</xdr:colOff>
      <xdr:row>35</xdr:row>
      <xdr:rowOff>304800</xdr:rowOff>
    </xdr:to>
    <xdr:pic>
      <xdr:nvPicPr>
        <xdr:cNvPr id="15" name="图片 14" descr="大剑"/>
        <xdr:cNvPicPr>
          <a:picLocks noChangeAspect="1"/>
        </xdr:cNvPicPr>
      </xdr:nvPicPr>
      <xdr:blipFill>
        <a:stretch>
          <a:fillRect/>
        </a:stretch>
      </xdr:blipFill>
      <xdr:spPr>
        <a:xfrm>
          <a:off x="685800" y="32994600"/>
          <a:ext cx="304800" cy="304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1</xdr:col>
      <xdr:colOff>304800</xdr:colOff>
      <xdr:row>66</xdr:row>
      <xdr:rowOff>304800</xdr:rowOff>
    </xdr:to>
    <xdr:pic>
      <xdr:nvPicPr>
        <xdr:cNvPr id="16" name="图片 15" descr="风暴曲剑"/>
        <xdr:cNvPicPr>
          <a:picLocks noChangeAspect="1"/>
        </xdr:cNvPicPr>
      </xdr:nvPicPr>
      <xdr:blipFill>
        <a:stretch>
          <a:fillRect/>
        </a:stretch>
      </xdr:blipFill>
      <xdr:spPr>
        <a:xfrm>
          <a:off x="685800" y="62522100"/>
          <a:ext cx="304800" cy="3048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</xdr:col>
      <xdr:colOff>304800</xdr:colOff>
      <xdr:row>77</xdr:row>
      <xdr:rowOff>304800</xdr:rowOff>
    </xdr:to>
    <xdr:pic>
      <xdr:nvPicPr>
        <xdr:cNvPr id="17" name="图片 16" descr="流放者大刀"/>
        <xdr:cNvPicPr>
          <a:picLocks noChangeAspect="1"/>
        </xdr:cNvPicPr>
      </xdr:nvPicPr>
      <xdr:blipFill>
        <a:stretch>
          <a:fillRect/>
        </a:stretch>
      </xdr:blipFill>
      <xdr:spPr>
        <a:xfrm>
          <a:off x="685800" y="72999600"/>
          <a:ext cx="304800" cy="3048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0</xdr:colOff>
      <xdr:row>28</xdr:row>
      <xdr:rowOff>0</xdr:rowOff>
    </xdr:from>
    <xdr:to>
      <xdr:col>1</xdr:col>
      <xdr:colOff>304800</xdr:colOff>
      <xdr:row>28</xdr:row>
      <xdr:rowOff>304800</xdr:rowOff>
    </xdr:to>
    <xdr:pic>
      <xdr:nvPicPr>
        <xdr:cNvPr id="20" name="图片 19" descr="银骑士盾"/>
        <xdr:cNvPicPr>
          <a:picLocks noChangeAspect="1"/>
        </xdr:cNvPicPr>
      </xdr:nvPicPr>
      <xdr:blipFill>
        <a:stretch>
          <a:fillRect/>
        </a:stretch>
      </xdr:blipFill>
      <xdr:spPr>
        <a:xfrm>
          <a:off x="685800" y="26327100"/>
          <a:ext cx="304800" cy="3048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/dark_souls_3/baike3165?wid=758" TargetMode="External"/><Relationship Id="rId8" Type="http://schemas.openxmlformats.org/officeDocument/2006/relationships/hyperlink" Target="/dark_souls_3/baike3164?wid=758" TargetMode="External"/><Relationship Id="rId7" Type="http://schemas.openxmlformats.org/officeDocument/2006/relationships/hyperlink" Target="/dark_souls_3/baike3161?wid=758" TargetMode="External"/><Relationship Id="rId6" Type="http://schemas.openxmlformats.org/officeDocument/2006/relationships/hyperlink" Target="/dark_souls_3/baike3160?wid=758" TargetMode="External"/><Relationship Id="rId5" Type="http://schemas.openxmlformats.org/officeDocument/2006/relationships/hyperlink" Target="/dark_souls_3/baike3159?wid=758" TargetMode="External"/><Relationship Id="rId4" Type="http://schemas.openxmlformats.org/officeDocument/2006/relationships/hyperlink" Target="/dark_souls_3/item12191?wid=758" TargetMode="External"/><Relationship Id="rId37" Type="http://schemas.openxmlformats.org/officeDocument/2006/relationships/hyperlink" Target="/dark_souls_3/item12230?wid=761" TargetMode="External"/><Relationship Id="rId36" Type="http://schemas.openxmlformats.org/officeDocument/2006/relationships/hyperlink" Target="/dark_souls_3/baike3277?wid=761" TargetMode="External"/><Relationship Id="rId35" Type="http://schemas.openxmlformats.org/officeDocument/2006/relationships/hyperlink" Target="/dark_souls_3/baike3173?wid=761" TargetMode="External"/><Relationship Id="rId34" Type="http://schemas.openxmlformats.org/officeDocument/2006/relationships/hyperlink" Target="/dark_souls_3/baike3172?wid=761" TargetMode="External"/><Relationship Id="rId33" Type="http://schemas.openxmlformats.org/officeDocument/2006/relationships/hyperlink" Target="/dark_souls_3/baike3171?wid=761" TargetMode="External"/><Relationship Id="rId32" Type="http://schemas.openxmlformats.org/officeDocument/2006/relationships/hyperlink" Target="/dark_souls_3/baike3170?wid=761" TargetMode="External"/><Relationship Id="rId31" Type="http://schemas.openxmlformats.org/officeDocument/2006/relationships/hyperlink" Target="/dark_souls_3/baike3169?wid=761" TargetMode="External"/><Relationship Id="rId30" Type="http://schemas.openxmlformats.org/officeDocument/2006/relationships/hyperlink" Target="/dark_souls_3/item12192?wid=761" TargetMode="External"/><Relationship Id="rId3" Type="http://schemas.openxmlformats.org/officeDocument/2006/relationships/hyperlink" Target="/dark_souls_3/baike3158?wid=758" TargetMode="External"/><Relationship Id="rId29" Type="http://schemas.openxmlformats.org/officeDocument/2006/relationships/hyperlink" Target="/dark_souls_3/baike3163?wid=761" TargetMode="External"/><Relationship Id="rId28" Type="http://schemas.openxmlformats.org/officeDocument/2006/relationships/hyperlink" Target="/dark_souls_3/item12193?wid=760" TargetMode="External"/><Relationship Id="rId27" Type="http://schemas.openxmlformats.org/officeDocument/2006/relationships/hyperlink" Target="/dark_souls_3/baike3178?wid=760" TargetMode="External"/><Relationship Id="rId26" Type="http://schemas.openxmlformats.org/officeDocument/2006/relationships/hyperlink" Target="/dark_souls_3/baike3177?wid=760" TargetMode="External"/><Relationship Id="rId25" Type="http://schemas.openxmlformats.org/officeDocument/2006/relationships/hyperlink" Target="/dark_souls_3/baike3176?wid=760" TargetMode="External"/><Relationship Id="rId24" Type="http://schemas.openxmlformats.org/officeDocument/2006/relationships/hyperlink" Target="/dark_souls_3/baike3175?wid=760" TargetMode="External"/><Relationship Id="rId23" Type="http://schemas.openxmlformats.org/officeDocument/2006/relationships/hyperlink" Target="/dark_souls_3/baike3174?wid=760" TargetMode="External"/><Relationship Id="rId22" Type="http://schemas.openxmlformats.org/officeDocument/2006/relationships/hyperlink" Target="/dark_souls_3/item12190?wid=760" TargetMode="External"/><Relationship Id="rId21" Type="http://schemas.openxmlformats.org/officeDocument/2006/relationships/hyperlink" Target="/dark_souls_3/baike3156?wid=760" TargetMode="External"/><Relationship Id="rId20" Type="http://schemas.openxmlformats.org/officeDocument/2006/relationships/hyperlink" Target="/dark_souls_3/item12217?wid=759" TargetMode="External"/><Relationship Id="rId2" Type="http://schemas.openxmlformats.org/officeDocument/2006/relationships/hyperlink" Target="/dark_souls_3/item12173?wid=758" TargetMode="External"/><Relationship Id="rId19" Type="http://schemas.openxmlformats.org/officeDocument/2006/relationships/hyperlink" Target="/dark_souls_3/baike3258?wid=759" TargetMode="External"/><Relationship Id="rId18" Type="http://schemas.openxmlformats.org/officeDocument/2006/relationships/hyperlink" Target="/dark_souls_3/item12193?wid=759" TargetMode="External"/><Relationship Id="rId17" Type="http://schemas.openxmlformats.org/officeDocument/2006/relationships/hyperlink" Target="/dark_souls_3/baike3179?wid=759" TargetMode="External"/><Relationship Id="rId16" Type="http://schemas.openxmlformats.org/officeDocument/2006/relationships/hyperlink" Target="/dark_souls_3/item12231?wid=758" TargetMode="External"/><Relationship Id="rId15" Type="http://schemas.openxmlformats.org/officeDocument/2006/relationships/hyperlink" Target="/dark_souls_3/baike3278?wid=758" TargetMode="External"/><Relationship Id="rId14" Type="http://schemas.openxmlformats.org/officeDocument/2006/relationships/hyperlink" Target="/dark_souls_3/item12229?wid=758" TargetMode="External"/><Relationship Id="rId13" Type="http://schemas.openxmlformats.org/officeDocument/2006/relationships/hyperlink" Target="/dark_souls_3/baike3276?wid=758" TargetMode="External"/><Relationship Id="rId12" Type="http://schemas.openxmlformats.org/officeDocument/2006/relationships/hyperlink" Target="/dark_souls_3/baike3168?wid=758" TargetMode="External"/><Relationship Id="rId11" Type="http://schemas.openxmlformats.org/officeDocument/2006/relationships/hyperlink" Target="/dark_souls_3/baike3167?wid=758" TargetMode="External"/><Relationship Id="rId10" Type="http://schemas.openxmlformats.org/officeDocument/2006/relationships/hyperlink" Target="/dark_souls_3/baike3166?wid=758" TargetMode="External"/><Relationship Id="rId1" Type="http://schemas.openxmlformats.org/officeDocument/2006/relationships/hyperlink" Target="/dark_souls_3/baike3157?wid=758" TargetMode="External"/></Relationships>
</file>

<file path=xl/worksheets/_rels/sheet2.xml.rels><?xml version="1.0" encoding="UTF-8" standalone="yes"?>
<Relationships xmlns="http://schemas.openxmlformats.org/package/2006/relationships"><Relationship Id="rId9" Type="http://schemas.openxmlformats.org/officeDocument/2006/relationships/hyperlink" Target="/dark_souls_3/baike3306?wid=94" TargetMode="External"/><Relationship Id="rId8" Type="http://schemas.openxmlformats.org/officeDocument/2006/relationships/hyperlink" Target="/dark_souls_3/baike3305?wid=94" TargetMode="External"/><Relationship Id="rId7" Type="http://schemas.openxmlformats.org/officeDocument/2006/relationships/hyperlink" Target="/dark_souls_3/baike3304?wid=94" TargetMode="External"/><Relationship Id="rId6" Type="http://schemas.openxmlformats.org/officeDocument/2006/relationships/hyperlink" Target="/dark_souls_3/baike3303?wid=94" TargetMode="External"/><Relationship Id="rId5" Type="http://schemas.openxmlformats.org/officeDocument/2006/relationships/hyperlink" Target="/dark_souls_3/baike3302?wid=94" TargetMode="External"/><Relationship Id="rId4" Type="http://schemas.openxmlformats.org/officeDocument/2006/relationships/hyperlink" Target="/dark_souls_3/baike3301?wid=94" TargetMode="External"/><Relationship Id="rId3" Type="http://schemas.openxmlformats.org/officeDocument/2006/relationships/hyperlink" Target="/dark_souls_3/baike3300?wid=94" TargetMode="External"/><Relationship Id="rId2" Type="http://schemas.openxmlformats.org/officeDocument/2006/relationships/hyperlink" Target="/dark_souls_3/baike2653?wid=94" TargetMode="External"/><Relationship Id="rId19" Type="http://schemas.openxmlformats.org/officeDocument/2006/relationships/hyperlink" Target="/dark_souls_3/baike3316?wid=94" TargetMode="External"/><Relationship Id="rId18" Type="http://schemas.openxmlformats.org/officeDocument/2006/relationships/hyperlink" Target="/dark_souls_3/baike3315?wid=94" TargetMode="External"/><Relationship Id="rId17" Type="http://schemas.openxmlformats.org/officeDocument/2006/relationships/hyperlink" Target="/dark_souls_3/baike3314?wid=94" TargetMode="External"/><Relationship Id="rId16" Type="http://schemas.openxmlformats.org/officeDocument/2006/relationships/hyperlink" Target="/dark_souls_3/baike3313?wid=94" TargetMode="External"/><Relationship Id="rId15" Type="http://schemas.openxmlformats.org/officeDocument/2006/relationships/hyperlink" Target="/dark_souls_3/baike3312?wid=94" TargetMode="External"/><Relationship Id="rId14" Type="http://schemas.openxmlformats.org/officeDocument/2006/relationships/hyperlink" Target="/dark_souls_3/baike3311?wid=94" TargetMode="External"/><Relationship Id="rId13" Type="http://schemas.openxmlformats.org/officeDocument/2006/relationships/hyperlink" Target="/dark_souls_3/baike3310?wid=94" TargetMode="External"/><Relationship Id="rId12" Type="http://schemas.openxmlformats.org/officeDocument/2006/relationships/hyperlink" Target="/dark_souls_3/baike3309?wid=94" TargetMode="External"/><Relationship Id="rId11" Type="http://schemas.openxmlformats.org/officeDocument/2006/relationships/hyperlink" Target="/dark_souls_3/baike3308?wid=94" TargetMode="External"/><Relationship Id="rId10" Type="http://schemas.openxmlformats.org/officeDocument/2006/relationships/hyperlink" Target="/dark_souls_3/baike3307?wid=94" TargetMode="External"/><Relationship Id="rId1" Type="http://schemas.openxmlformats.org/officeDocument/2006/relationships/hyperlink" Target="/dark_souls_3/baike2652?wid=94" TargetMode="External"/></Relationships>
</file>

<file path=xl/worksheets/_rels/sheet3.xml.rels><?xml version="1.0" encoding="UTF-8" standalone="yes"?>
<Relationships xmlns="http://schemas.openxmlformats.org/package/2006/relationships"><Relationship Id="rId9" Type="http://schemas.openxmlformats.org/officeDocument/2006/relationships/hyperlink" Target="/dark_souls_3/baike3295?wid=755" TargetMode="External"/><Relationship Id="rId8" Type="http://schemas.openxmlformats.org/officeDocument/2006/relationships/hyperlink" Target="/dark_souls_3/item12198?wid=755" TargetMode="External"/><Relationship Id="rId7" Type="http://schemas.openxmlformats.org/officeDocument/2006/relationships/hyperlink" Target="/dark_souls_3/baike3293?wid=755" TargetMode="External"/><Relationship Id="rId6" Type="http://schemas.openxmlformats.org/officeDocument/2006/relationships/hyperlink" Target="/dark_souls_3/baike3289?wid=755" TargetMode="External"/><Relationship Id="rId5" Type="http://schemas.openxmlformats.org/officeDocument/2006/relationships/hyperlink" Target="/dark_souls_3/item12197?wid=755" TargetMode="External"/><Relationship Id="rId4" Type="http://schemas.openxmlformats.org/officeDocument/2006/relationships/hyperlink" Target="/dark_souls_3/baike3288?wid=755" TargetMode="External"/><Relationship Id="rId3" Type="http://schemas.openxmlformats.org/officeDocument/2006/relationships/hyperlink" Target="/dark_souls_3/baike3285?wid=755" TargetMode="External"/><Relationship Id="rId26" Type="http://schemas.openxmlformats.org/officeDocument/2006/relationships/hyperlink" Target="/dark_souls_3/item12171?wid=757" TargetMode="External"/><Relationship Id="rId25" Type="http://schemas.openxmlformats.org/officeDocument/2006/relationships/hyperlink" Target="/dark_souls_3/baike3299?wid=757" TargetMode="External"/><Relationship Id="rId24" Type="http://schemas.openxmlformats.org/officeDocument/2006/relationships/hyperlink" Target="/dark_souls_3/baike3296?wid=757" TargetMode="External"/><Relationship Id="rId23" Type="http://schemas.openxmlformats.org/officeDocument/2006/relationships/hyperlink" Target="/dark_souls_3/baike3292?wid=757" TargetMode="External"/><Relationship Id="rId22" Type="http://schemas.openxmlformats.org/officeDocument/2006/relationships/hyperlink" Target="/dark_souls_3/baike3291?wid=757" TargetMode="External"/><Relationship Id="rId21" Type="http://schemas.openxmlformats.org/officeDocument/2006/relationships/hyperlink" Target="/dark_souls_3/baike3290?wid=757" TargetMode="External"/><Relationship Id="rId20" Type="http://schemas.openxmlformats.org/officeDocument/2006/relationships/hyperlink" Target="/dark_souls_3/baike3287?wid=757" TargetMode="External"/><Relationship Id="rId2" Type="http://schemas.openxmlformats.org/officeDocument/2006/relationships/hyperlink" Target="/dark_souls_3/item12195?wid=755" TargetMode="External"/><Relationship Id="rId19" Type="http://schemas.openxmlformats.org/officeDocument/2006/relationships/hyperlink" Target="/dark_souls_3/item12196?wid=757" TargetMode="External"/><Relationship Id="rId18" Type="http://schemas.openxmlformats.org/officeDocument/2006/relationships/hyperlink" Target="/dark_souls_3/baike3286?wid=757" TargetMode="External"/><Relationship Id="rId17" Type="http://schemas.openxmlformats.org/officeDocument/2006/relationships/hyperlink" Target="/dark_souls_3/item12218?wid=756" TargetMode="External"/><Relationship Id="rId16" Type="http://schemas.openxmlformats.org/officeDocument/2006/relationships/hyperlink" Target="/dark_souls_3/baike3297?wid=756" TargetMode="External"/><Relationship Id="rId15" Type="http://schemas.openxmlformats.org/officeDocument/2006/relationships/hyperlink" Target="/dark_souls_3/baike3294?wid=756" TargetMode="External"/><Relationship Id="rId14" Type="http://schemas.openxmlformats.org/officeDocument/2006/relationships/hyperlink" Target="/dark_souls_3/item12194?wid=756" TargetMode="External"/><Relationship Id="rId13" Type="http://schemas.openxmlformats.org/officeDocument/2006/relationships/hyperlink" Target="/dark_souls_3/baike3283?wid=756" TargetMode="External"/><Relationship Id="rId12" Type="http://schemas.openxmlformats.org/officeDocument/2006/relationships/hyperlink" Target="/dark_souls_3/item12232?wid=755" TargetMode="External"/><Relationship Id="rId11" Type="http://schemas.openxmlformats.org/officeDocument/2006/relationships/hyperlink" Target="/dark_souls_3/baike3298?wid=755" TargetMode="External"/><Relationship Id="rId10" Type="http://schemas.openxmlformats.org/officeDocument/2006/relationships/hyperlink" Target="/dark_souls_3/item12199?wid=755" TargetMode="External"/><Relationship Id="rId1" Type="http://schemas.openxmlformats.org/officeDocument/2006/relationships/hyperlink" Target="/dark_souls_3/baike3284?wid=755" TargetMode="External"/></Relationships>
</file>

<file path=xl/worksheets/_rels/sheet4.xml.rels><?xml version="1.0" encoding="UTF-8" standalone="yes"?>
<Relationships xmlns="http://schemas.openxmlformats.org/package/2006/relationships"><Relationship Id="rId99" Type="http://schemas.openxmlformats.org/officeDocument/2006/relationships/hyperlink" Target="/dark_souls_3/item12145?wid=740" TargetMode="External"/><Relationship Id="rId98" Type="http://schemas.openxmlformats.org/officeDocument/2006/relationships/hyperlink" Target="/dark_souls_3/baike3047?wid=740" TargetMode="External"/><Relationship Id="rId97" Type="http://schemas.openxmlformats.org/officeDocument/2006/relationships/hyperlink" Target="/dark_souls_3/baike3045?wid=740" TargetMode="External"/><Relationship Id="rId96" Type="http://schemas.openxmlformats.org/officeDocument/2006/relationships/hyperlink" Target="/dark_souls_3/baike3044?wid=740" TargetMode="External"/><Relationship Id="rId95" Type="http://schemas.openxmlformats.org/officeDocument/2006/relationships/hyperlink" Target="/dark_souls_3/baike3043?wid=740" TargetMode="External"/><Relationship Id="rId94" Type="http://schemas.openxmlformats.org/officeDocument/2006/relationships/hyperlink" Target="/dark_souls_3/baike3042?wid=740" TargetMode="External"/><Relationship Id="rId93" Type="http://schemas.openxmlformats.org/officeDocument/2006/relationships/hyperlink" Target="/dark_souls_3/item12141?wid=740" TargetMode="External"/><Relationship Id="rId92" Type="http://schemas.openxmlformats.org/officeDocument/2006/relationships/hyperlink" Target="/dark_souls_3/baike3028?wid=740" TargetMode="External"/><Relationship Id="rId91" Type="http://schemas.openxmlformats.org/officeDocument/2006/relationships/hyperlink" Target="/dark_souls_3/item12163?wid=739" TargetMode="External"/><Relationship Id="rId90" Type="http://schemas.openxmlformats.org/officeDocument/2006/relationships/hyperlink" Target="/dark_souls_3/baike3280?wid=739" TargetMode="External"/><Relationship Id="rId9" Type="http://schemas.openxmlformats.org/officeDocument/2006/relationships/hyperlink" Target="/dark_souls_3/baike3018?wid=736" TargetMode="External"/><Relationship Id="rId89" Type="http://schemas.openxmlformats.org/officeDocument/2006/relationships/hyperlink" Target="/dark_souls_3/baike3084?wid=739" TargetMode="External"/><Relationship Id="rId88" Type="http://schemas.openxmlformats.org/officeDocument/2006/relationships/hyperlink" Target="/dark_souls_3/item12157?wid=739" TargetMode="External"/><Relationship Id="rId87" Type="http://schemas.openxmlformats.org/officeDocument/2006/relationships/hyperlink" Target="/dark_souls_3/baike3075?wid=739" TargetMode="External"/><Relationship Id="rId86" Type="http://schemas.openxmlformats.org/officeDocument/2006/relationships/hyperlink" Target="/dark_souls_3/item12135?wid=739" TargetMode="External"/><Relationship Id="rId85" Type="http://schemas.openxmlformats.org/officeDocument/2006/relationships/hyperlink" Target="/dark_souls_3/baike3071?wid=739" TargetMode="External"/><Relationship Id="rId84" Type="http://schemas.openxmlformats.org/officeDocument/2006/relationships/hyperlink" Target="/dark_souls_3/baike3070?wid=739" TargetMode="External"/><Relationship Id="rId83" Type="http://schemas.openxmlformats.org/officeDocument/2006/relationships/hyperlink" Target="/dark_souls_3/item12154?wid=739" TargetMode="External"/><Relationship Id="rId82" Type="http://schemas.openxmlformats.org/officeDocument/2006/relationships/hyperlink" Target="/dark_souls_3/baike3069?wid=739" TargetMode="External"/><Relationship Id="rId81" Type="http://schemas.openxmlformats.org/officeDocument/2006/relationships/hyperlink" Target="/dark_souls_3/baike3065?wid=739" TargetMode="External"/><Relationship Id="rId80" Type="http://schemas.openxmlformats.org/officeDocument/2006/relationships/hyperlink" Target="/dark_souls_3/baike3064?wid=739" TargetMode="External"/><Relationship Id="rId8" Type="http://schemas.openxmlformats.org/officeDocument/2006/relationships/hyperlink" Target="/dark_souls_3/baike3017?wid=736" TargetMode="External"/><Relationship Id="rId79" Type="http://schemas.openxmlformats.org/officeDocument/2006/relationships/hyperlink" Target="/dark_souls_3/item12152?wid=739" TargetMode="External"/><Relationship Id="rId78" Type="http://schemas.openxmlformats.org/officeDocument/2006/relationships/hyperlink" Target="/dark_souls_3/baike3062?wid=739" TargetMode="External"/><Relationship Id="rId77" Type="http://schemas.openxmlformats.org/officeDocument/2006/relationships/hyperlink" Target="/dark_souls_3/baike3061?wid=739" TargetMode="External"/><Relationship Id="rId76" Type="http://schemas.openxmlformats.org/officeDocument/2006/relationships/hyperlink" Target="/dark_souls_3/item12142?wid=739" TargetMode="External"/><Relationship Id="rId75" Type="http://schemas.openxmlformats.org/officeDocument/2006/relationships/hyperlink" Target="/dark_souls_3/baike3060?wid=739" TargetMode="External"/><Relationship Id="rId74" Type="http://schemas.openxmlformats.org/officeDocument/2006/relationships/hyperlink" Target="/dark_souls_3/item12223?wid=738" TargetMode="External"/><Relationship Id="rId73" Type="http://schemas.openxmlformats.org/officeDocument/2006/relationships/hyperlink" Target="/dark_souls_3/baike3267?wid=738" TargetMode="External"/><Relationship Id="rId72" Type="http://schemas.openxmlformats.org/officeDocument/2006/relationships/hyperlink" Target="/dark_souls_3/item12209?wid=738" TargetMode="External"/><Relationship Id="rId71" Type="http://schemas.openxmlformats.org/officeDocument/2006/relationships/hyperlink" Target="/dark_souls_3/baike3249?wid=738" TargetMode="External"/><Relationship Id="rId70" Type="http://schemas.openxmlformats.org/officeDocument/2006/relationships/hyperlink" Target="/dark_souls_3/item12165?wid=738" TargetMode="External"/><Relationship Id="rId7" Type="http://schemas.openxmlformats.org/officeDocument/2006/relationships/hyperlink" Target="/dark_souls_3/baike3016?wid=736" TargetMode="External"/><Relationship Id="rId69" Type="http://schemas.openxmlformats.org/officeDocument/2006/relationships/hyperlink" Target="/dark_souls_3/baike3086?wid=738" TargetMode="External"/><Relationship Id="rId68" Type="http://schemas.openxmlformats.org/officeDocument/2006/relationships/hyperlink" Target="/dark_souls_3/item12163?wid=738" TargetMode="External"/><Relationship Id="rId67" Type="http://schemas.openxmlformats.org/officeDocument/2006/relationships/hyperlink" Target="/dark_souls_3/baike3083?wid=738" TargetMode="External"/><Relationship Id="rId66" Type="http://schemas.openxmlformats.org/officeDocument/2006/relationships/hyperlink" Target="/dark_souls_3/baike3082?wid=738" TargetMode="External"/><Relationship Id="rId65" Type="http://schemas.openxmlformats.org/officeDocument/2006/relationships/hyperlink" Target="/dark_souls_3/item12162?wid=738" TargetMode="External"/><Relationship Id="rId64" Type="http://schemas.openxmlformats.org/officeDocument/2006/relationships/hyperlink" Target="/dark_souls_3/baike3081?wid=738" TargetMode="External"/><Relationship Id="rId63" Type="http://schemas.openxmlformats.org/officeDocument/2006/relationships/hyperlink" Target="/dark_souls_3/baike3080?wid=738" TargetMode="External"/><Relationship Id="rId62" Type="http://schemas.openxmlformats.org/officeDocument/2006/relationships/hyperlink" Target="/dark_souls_3/item12161?wid=738" TargetMode="External"/><Relationship Id="rId61" Type="http://schemas.openxmlformats.org/officeDocument/2006/relationships/hyperlink" Target="/dark_souls_3/baike3079?wid=738" TargetMode="External"/><Relationship Id="rId60" Type="http://schemas.openxmlformats.org/officeDocument/2006/relationships/hyperlink" Target="/dark_souls_3/item12160?wid=738" TargetMode="External"/><Relationship Id="rId6" Type="http://schemas.openxmlformats.org/officeDocument/2006/relationships/hyperlink" Target="/dark_souls_3/item12135?wid=736" TargetMode="External"/><Relationship Id="rId59" Type="http://schemas.openxmlformats.org/officeDocument/2006/relationships/hyperlink" Target="/dark_souls_3/baike3078?wid=738" TargetMode="External"/><Relationship Id="rId58" Type="http://schemas.openxmlformats.org/officeDocument/2006/relationships/hyperlink" Target="/dark_souls_3/item12158?wid=738" TargetMode="External"/><Relationship Id="rId57" Type="http://schemas.openxmlformats.org/officeDocument/2006/relationships/hyperlink" Target="/dark_souls_3/baike3076?wid=738" TargetMode="External"/><Relationship Id="rId56" Type="http://schemas.openxmlformats.org/officeDocument/2006/relationships/hyperlink" Target="/dark_souls_3/item12156?wid=738" TargetMode="External"/><Relationship Id="rId55" Type="http://schemas.openxmlformats.org/officeDocument/2006/relationships/hyperlink" Target="/dark_souls_3/baike3074?wid=738" TargetMode="External"/><Relationship Id="rId54" Type="http://schemas.openxmlformats.org/officeDocument/2006/relationships/hyperlink" Target="/dark_souls_3/item12153?wid=738" TargetMode="External"/><Relationship Id="rId53" Type="http://schemas.openxmlformats.org/officeDocument/2006/relationships/hyperlink" Target="/dark_souls_3/baike3068?wid=738" TargetMode="External"/><Relationship Id="rId52" Type="http://schemas.openxmlformats.org/officeDocument/2006/relationships/hyperlink" Target="/dark_souls_3/baike3066?wid=738" TargetMode="External"/><Relationship Id="rId51" Type="http://schemas.openxmlformats.org/officeDocument/2006/relationships/hyperlink" Target="/dark_souls_3/item12139?wid=738" TargetMode="External"/><Relationship Id="rId50" Type="http://schemas.openxmlformats.org/officeDocument/2006/relationships/hyperlink" Target="/dark_souls_3/baike3059?wid=738" TargetMode="External"/><Relationship Id="rId5" Type="http://schemas.openxmlformats.org/officeDocument/2006/relationships/hyperlink" Target="/dark_souls_3/baike3015?wid=736" TargetMode="External"/><Relationship Id="rId49" Type="http://schemas.openxmlformats.org/officeDocument/2006/relationships/hyperlink" Target="/dark_souls_3/baike3058?wid=738" TargetMode="External"/><Relationship Id="rId48" Type="http://schemas.openxmlformats.org/officeDocument/2006/relationships/hyperlink" Target="/dark_souls_3/item12142?wid=738" TargetMode="External"/><Relationship Id="rId47" Type="http://schemas.openxmlformats.org/officeDocument/2006/relationships/hyperlink" Target="/dark_souls_3/baike3034?wid=738" TargetMode="External"/><Relationship Id="rId46" Type="http://schemas.openxmlformats.org/officeDocument/2006/relationships/hyperlink" Target="/dark_souls_3/item12163?wid=737" TargetMode="External"/><Relationship Id="rId45" Type="http://schemas.openxmlformats.org/officeDocument/2006/relationships/hyperlink" Target="/dark_souls_3/baike3266?wid=737" TargetMode="External"/><Relationship Id="rId44" Type="http://schemas.openxmlformats.org/officeDocument/2006/relationships/hyperlink" Target="/dark_souls_3/item12219?wid=737" TargetMode="External"/><Relationship Id="rId43" Type="http://schemas.openxmlformats.org/officeDocument/2006/relationships/hyperlink" Target="/dark_souls_3/baike3259?wid=737" TargetMode="External"/><Relationship Id="rId42" Type="http://schemas.openxmlformats.org/officeDocument/2006/relationships/hyperlink" Target="/dark_souls_3/item12141?wid=737" TargetMode="External"/><Relationship Id="rId41" Type="http://schemas.openxmlformats.org/officeDocument/2006/relationships/hyperlink" Target="/dark_souls_3/baike3186?wid=737" TargetMode="External"/><Relationship Id="rId40" Type="http://schemas.openxmlformats.org/officeDocument/2006/relationships/hyperlink" Target="/dark_souls_3/item12159?wid=737" TargetMode="External"/><Relationship Id="rId4" Type="http://schemas.openxmlformats.org/officeDocument/2006/relationships/hyperlink" Target="/dark_souls_3/baike3014?wid=736" TargetMode="External"/><Relationship Id="rId39" Type="http://schemas.openxmlformats.org/officeDocument/2006/relationships/hyperlink" Target="/dark_souls_3/baike3077?wid=737" TargetMode="External"/><Relationship Id="rId38" Type="http://schemas.openxmlformats.org/officeDocument/2006/relationships/hyperlink" Target="/dark_souls_3/item12142?wid=737" TargetMode="External"/><Relationship Id="rId37" Type="http://schemas.openxmlformats.org/officeDocument/2006/relationships/hyperlink" Target="/dark_souls_3/baike3073?wid=737" TargetMode="External"/><Relationship Id="rId36" Type="http://schemas.openxmlformats.org/officeDocument/2006/relationships/hyperlink" Target="/dark_souls_3/baike3035?wid=737" TargetMode="External"/><Relationship Id="rId35" Type="http://schemas.openxmlformats.org/officeDocument/2006/relationships/hyperlink" Target="/dark_souls_3/baike3033?wid=737" TargetMode="External"/><Relationship Id="rId34" Type="http://schemas.openxmlformats.org/officeDocument/2006/relationships/hyperlink" Target="/dark_souls_3/baike3032?wid=737" TargetMode="External"/><Relationship Id="rId33" Type="http://schemas.openxmlformats.org/officeDocument/2006/relationships/hyperlink" Target="/dark_souls_3/baike3031?wid=737" TargetMode="External"/><Relationship Id="rId32" Type="http://schemas.openxmlformats.org/officeDocument/2006/relationships/hyperlink" Target="/dark_souls_3/item12136?wid=737" TargetMode="External"/><Relationship Id="rId31" Type="http://schemas.openxmlformats.org/officeDocument/2006/relationships/hyperlink" Target="/dark_souls_3/baike3030?wid=737" TargetMode="External"/><Relationship Id="rId30" Type="http://schemas.openxmlformats.org/officeDocument/2006/relationships/hyperlink" Target="/dark_souls_3/baike3029?wid=737" TargetMode="External"/><Relationship Id="rId3" Type="http://schemas.openxmlformats.org/officeDocument/2006/relationships/hyperlink" Target="/dark_souls_3/item12134?wid=736" TargetMode="External"/><Relationship Id="rId291" Type="http://schemas.openxmlformats.org/officeDocument/2006/relationships/hyperlink" Target="/dark_souls_3/item12221?wid=765" TargetMode="External"/><Relationship Id="rId290" Type="http://schemas.openxmlformats.org/officeDocument/2006/relationships/hyperlink" Target="/dark_souls_3/baike3263?wid=765" TargetMode="External"/><Relationship Id="rId29" Type="http://schemas.openxmlformats.org/officeDocument/2006/relationships/hyperlink" Target="/dark_souls_3/item12140?wid=737" TargetMode="External"/><Relationship Id="rId289" Type="http://schemas.openxmlformats.org/officeDocument/2006/relationships/hyperlink" Target="/dark_souls_3/baike3248?wid=765" TargetMode="External"/><Relationship Id="rId288" Type="http://schemas.openxmlformats.org/officeDocument/2006/relationships/hyperlink" Target="/dark_souls_3/item12216?wid=754" TargetMode="External"/><Relationship Id="rId287" Type="http://schemas.openxmlformats.org/officeDocument/2006/relationships/hyperlink" Target="/dark_souls_3/baike3257?wid=754" TargetMode="External"/><Relationship Id="rId286" Type="http://schemas.openxmlformats.org/officeDocument/2006/relationships/hyperlink" Target="/dark_souls_3/baike3155?wid=754" TargetMode="External"/><Relationship Id="rId285" Type="http://schemas.openxmlformats.org/officeDocument/2006/relationships/hyperlink" Target="/dark_souls_3/baike3154?wid=754" TargetMode="External"/><Relationship Id="rId284" Type="http://schemas.openxmlformats.org/officeDocument/2006/relationships/hyperlink" Target="/dark_souls_3/item12189?wid=754" TargetMode="External"/><Relationship Id="rId283" Type="http://schemas.openxmlformats.org/officeDocument/2006/relationships/hyperlink" Target="/dark_souls_3/baike3153?wid=754" TargetMode="External"/><Relationship Id="rId282" Type="http://schemas.openxmlformats.org/officeDocument/2006/relationships/hyperlink" Target="/dark_souls_3/item12188?wid=754" TargetMode="External"/><Relationship Id="rId281" Type="http://schemas.openxmlformats.org/officeDocument/2006/relationships/hyperlink" Target="/dark_souls_3/baike3152?wid=754" TargetMode="External"/><Relationship Id="rId280" Type="http://schemas.openxmlformats.org/officeDocument/2006/relationships/hyperlink" Target="/dark_souls_3/item12187?wid=753" TargetMode="External"/><Relationship Id="rId28" Type="http://schemas.openxmlformats.org/officeDocument/2006/relationships/hyperlink" Target="/dark_souls_3/baike3027?wid=737" TargetMode="External"/><Relationship Id="rId279" Type="http://schemas.openxmlformats.org/officeDocument/2006/relationships/hyperlink" Target="/dark_souls_3/baike3151?wid=753" TargetMode="External"/><Relationship Id="rId278" Type="http://schemas.openxmlformats.org/officeDocument/2006/relationships/hyperlink" Target="/dark_souls_3/item12186?wid=753" TargetMode="External"/><Relationship Id="rId277" Type="http://schemas.openxmlformats.org/officeDocument/2006/relationships/hyperlink" Target="/dark_souls_3/baike3150?wid=753" TargetMode="External"/><Relationship Id="rId276" Type="http://schemas.openxmlformats.org/officeDocument/2006/relationships/hyperlink" Target="/dark_souls_3/item12156?wid=753" TargetMode="External"/><Relationship Id="rId275" Type="http://schemas.openxmlformats.org/officeDocument/2006/relationships/hyperlink" Target="/dark_souls_3/baike3148?wid=753" TargetMode="External"/><Relationship Id="rId274" Type="http://schemas.openxmlformats.org/officeDocument/2006/relationships/hyperlink" Target="/dark_souls_3/item12215?wid=752" TargetMode="External"/><Relationship Id="rId273" Type="http://schemas.openxmlformats.org/officeDocument/2006/relationships/hyperlink" Target="/dark_souls_3/baike3256?wid=752" TargetMode="External"/><Relationship Id="rId272" Type="http://schemas.openxmlformats.org/officeDocument/2006/relationships/hyperlink" Target="/dark_souls_3/item12134?wid=752" TargetMode="External"/><Relationship Id="rId271" Type="http://schemas.openxmlformats.org/officeDocument/2006/relationships/hyperlink" Target="/dark_souls_3/baike3149?wid=752" TargetMode="External"/><Relationship Id="rId270" Type="http://schemas.openxmlformats.org/officeDocument/2006/relationships/hyperlink" Target="/dark_souls_3/item12185?wid=752" TargetMode="External"/><Relationship Id="rId27" Type="http://schemas.openxmlformats.org/officeDocument/2006/relationships/hyperlink" Target="/dark_souls_3/baike3026?wid=737" TargetMode="External"/><Relationship Id="rId269" Type="http://schemas.openxmlformats.org/officeDocument/2006/relationships/hyperlink" Target="/dark_souls_3/baike3147?wid=752" TargetMode="External"/><Relationship Id="rId268" Type="http://schemas.openxmlformats.org/officeDocument/2006/relationships/hyperlink" Target="/dark_souls_3/item12214?wid=751" TargetMode="External"/><Relationship Id="rId267" Type="http://schemas.openxmlformats.org/officeDocument/2006/relationships/hyperlink" Target="/dark_souls_3/baike3255?wid=751" TargetMode="External"/><Relationship Id="rId266" Type="http://schemas.openxmlformats.org/officeDocument/2006/relationships/hyperlink" Target="/dark_souls_3/baike3141?wid=751" TargetMode="External"/><Relationship Id="rId265" Type="http://schemas.openxmlformats.org/officeDocument/2006/relationships/hyperlink" Target="/dark_souls_3/item12145?wid=751" TargetMode="External"/><Relationship Id="rId264" Type="http://schemas.openxmlformats.org/officeDocument/2006/relationships/hyperlink" Target="/dark_souls_3/baike3140?wid=751" TargetMode="External"/><Relationship Id="rId263" Type="http://schemas.openxmlformats.org/officeDocument/2006/relationships/hyperlink" Target="/dark_souls_3/item12180?wid=751" TargetMode="External"/><Relationship Id="rId262" Type="http://schemas.openxmlformats.org/officeDocument/2006/relationships/hyperlink" Target="/dark_souls_3/baike3135?wid=751" TargetMode="External"/><Relationship Id="rId261" Type="http://schemas.openxmlformats.org/officeDocument/2006/relationships/hyperlink" Target="/dark_souls_3/item12228?wid=750" TargetMode="External"/><Relationship Id="rId260" Type="http://schemas.openxmlformats.org/officeDocument/2006/relationships/hyperlink" Target="/dark_souls_3/baike3275?wid=750" TargetMode="External"/><Relationship Id="rId26" Type="http://schemas.openxmlformats.org/officeDocument/2006/relationships/hyperlink" Target="/dark_souls_3/baike3025?wid=737" TargetMode="External"/><Relationship Id="rId259" Type="http://schemas.openxmlformats.org/officeDocument/2006/relationships/hyperlink" Target="/dark_souls_3/item12227?wid=750" TargetMode="External"/><Relationship Id="rId258" Type="http://schemas.openxmlformats.org/officeDocument/2006/relationships/hyperlink" Target="/dark_souls_3/baike3274?wid=750" TargetMode="External"/><Relationship Id="rId257" Type="http://schemas.openxmlformats.org/officeDocument/2006/relationships/hyperlink" Target="/dark_souls_3/item12184?wid=750" TargetMode="External"/><Relationship Id="rId256" Type="http://schemas.openxmlformats.org/officeDocument/2006/relationships/hyperlink" Target="/dark_souls_3/baike3146?wid=750" TargetMode="External"/><Relationship Id="rId255" Type="http://schemas.openxmlformats.org/officeDocument/2006/relationships/hyperlink" Target="/dark_souls_3/baike3145?wid=750" TargetMode="External"/><Relationship Id="rId254" Type="http://schemas.openxmlformats.org/officeDocument/2006/relationships/hyperlink" Target="/dark_souls_3/item12156?wid=750" TargetMode="External"/><Relationship Id="rId253" Type="http://schemas.openxmlformats.org/officeDocument/2006/relationships/hyperlink" Target="/dark_souls_3/baike3144?wid=750" TargetMode="External"/><Relationship Id="rId252" Type="http://schemas.openxmlformats.org/officeDocument/2006/relationships/hyperlink" Target="/dark_souls_3/item12183?wid=750" TargetMode="External"/><Relationship Id="rId251" Type="http://schemas.openxmlformats.org/officeDocument/2006/relationships/hyperlink" Target="/dark_souls_3/baike3143?wid=750" TargetMode="External"/><Relationship Id="rId250" Type="http://schemas.openxmlformats.org/officeDocument/2006/relationships/hyperlink" Target="/dark_souls_3/item12182?wid=750" TargetMode="External"/><Relationship Id="rId25" Type="http://schemas.openxmlformats.org/officeDocument/2006/relationships/hyperlink" Target="/dark_souls_3/baike3024?wid=737" TargetMode="External"/><Relationship Id="rId249" Type="http://schemas.openxmlformats.org/officeDocument/2006/relationships/hyperlink" Target="/dark_souls_3/baike3142?wid=750" TargetMode="External"/><Relationship Id="rId248" Type="http://schemas.openxmlformats.org/officeDocument/2006/relationships/hyperlink" Target="/dark_souls_3/item12152?wid=750" TargetMode="External"/><Relationship Id="rId247" Type="http://schemas.openxmlformats.org/officeDocument/2006/relationships/hyperlink" Target="/dark_souls_3/baike3138?wid=750" TargetMode="External"/><Relationship Id="rId246" Type="http://schemas.openxmlformats.org/officeDocument/2006/relationships/hyperlink" Target="/dark_souls_3/baike3137?wid=750" TargetMode="External"/><Relationship Id="rId245" Type="http://schemas.openxmlformats.org/officeDocument/2006/relationships/hyperlink" Target="/dark_souls_3/item12176?wid=750" TargetMode="External"/><Relationship Id="rId244" Type="http://schemas.openxmlformats.org/officeDocument/2006/relationships/hyperlink" Target="/dark_souls_3/baike3136?wid=750" TargetMode="External"/><Relationship Id="rId243" Type="http://schemas.openxmlformats.org/officeDocument/2006/relationships/hyperlink" Target="/dark_souls_3/item12155?wid=750" TargetMode="External"/><Relationship Id="rId242" Type="http://schemas.openxmlformats.org/officeDocument/2006/relationships/hyperlink" Target="/dark_souls_3/baike3090?wid=750" TargetMode="External"/><Relationship Id="rId241" Type="http://schemas.openxmlformats.org/officeDocument/2006/relationships/hyperlink" Target="/dark_souls_3/item12226?wid=749" TargetMode="External"/><Relationship Id="rId240" Type="http://schemas.openxmlformats.org/officeDocument/2006/relationships/hyperlink" Target="/dark_souls_3/baike3273?wid=749" TargetMode="External"/><Relationship Id="rId24" Type="http://schemas.openxmlformats.org/officeDocument/2006/relationships/hyperlink" Target="/dark_souls_3/baike3023?wid=737" TargetMode="External"/><Relationship Id="rId239" Type="http://schemas.openxmlformats.org/officeDocument/2006/relationships/hyperlink" Target="/dark_souls_3/item12163?wid=749" TargetMode="External"/><Relationship Id="rId238" Type="http://schemas.openxmlformats.org/officeDocument/2006/relationships/hyperlink" Target="/dark_souls_3/baike3272?wid=749" TargetMode="External"/><Relationship Id="rId237" Type="http://schemas.openxmlformats.org/officeDocument/2006/relationships/hyperlink" Target="/dark_souls_3/baike3132?wid=749" TargetMode="External"/><Relationship Id="rId236" Type="http://schemas.openxmlformats.org/officeDocument/2006/relationships/hyperlink" Target="/dark_souls_3/baike3122?wid=749" TargetMode="External"/><Relationship Id="rId235" Type="http://schemas.openxmlformats.org/officeDocument/2006/relationships/hyperlink" Target="/dark_souls_3/item12152?wid=749" TargetMode="External"/><Relationship Id="rId234" Type="http://schemas.openxmlformats.org/officeDocument/2006/relationships/hyperlink" Target="/dark_souls_3/baike3121?wid=749" TargetMode="External"/><Relationship Id="rId233" Type="http://schemas.openxmlformats.org/officeDocument/2006/relationships/hyperlink" Target="/dark_souls_3/item12213?wid=748" TargetMode="External"/><Relationship Id="rId232" Type="http://schemas.openxmlformats.org/officeDocument/2006/relationships/hyperlink" Target="/dark_souls_3/baike3254?wid=748" TargetMode="External"/><Relationship Id="rId231" Type="http://schemas.openxmlformats.org/officeDocument/2006/relationships/hyperlink" Target="/dark_souls_3/baike3188?wid=748" TargetMode="External"/><Relationship Id="rId230" Type="http://schemas.openxmlformats.org/officeDocument/2006/relationships/hyperlink" Target="/dark_souls_3/item12173?wid=748" TargetMode="External"/><Relationship Id="rId23" Type="http://schemas.openxmlformats.org/officeDocument/2006/relationships/hyperlink" Target="/dark_souls_3/item12139?wid=737" TargetMode="External"/><Relationship Id="rId229" Type="http://schemas.openxmlformats.org/officeDocument/2006/relationships/hyperlink" Target="/dark_souls_3/baike3162?wid=748" TargetMode="External"/><Relationship Id="rId228" Type="http://schemas.openxmlformats.org/officeDocument/2006/relationships/hyperlink" Target="/dark_souls_3/item12179?wid=748" TargetMode="External"/><Relationship Id="rId227" Type="http://schemas.openxmlformats.org/officeDocument/2006/relationships/hyperlink" Target="/dark_souls_3/baike3134?wid=748" TargetMode="External"/><Relationship Id="rId226" Type="http://schemas.openxmlformats.org/officeDocument/2006/relationships/hyperlink" Target="/dark_souls_3/baike3133?wid=748" TargetMode="External"/><Relationship Id="rId225" Type="http://schemas.openxmlformats.org/officeDocument/2006/relationships/hyperlink" Target="/dark_souls_3/item12178?wid=748" TargetMode="External"/><Relationship Id="rId224" Type="http://schemas.openxmlformats.org/officeDocument/2006/relationships/hyperlink" Target="/dark_souls_3/baike3131?wid=748" TargetMode="External"/><Relationship Id="rId223" Type="http://schemas.openxmlformats.org/officeDocument/2006/relationships/hyperlink" Target="/dark_souls_3/baike3130?wid=748" TargetMode="External"/><Relationship Id="rId222" Type="http://schemas.openxmlformats.org/officeDocument/2006/relationships/hyperlink" Target="/dark_souls_3/baike3129?wid=748" TargetMode="External"/><Relationship Id="rId221" Type="http://schemas.openxmlformats.org/officeDocument/2006/relationships/hyperlink" Target="/dark_souls_3/item12167?wid=748" TargetMode="External"/><Relationship Id="rId220" Type="http://schemas.openxmlformats.org/officeDocument/2006/relationships/hyperlink" Target="/dark_souls_3/baike3128?wid=748" TargetMode="External"/><Relationship Id="rId22" Type="http://schemas.openxmlformats.org/officeDocument/2006/relationships/hyperlink" Target="/dark_souls_3/baike3022?wid=737" TargetMode="External"/><Relationship Id="rId219" Type="http://schemas.openxmlformats.org/officeDocument/2006/relationships/hyperlink" Target="/dark_souls_3/baike3127?wid=748" TargetMode="External"/><Relationship Id="rId218" Type="http://schemas.openxmlformats.org/officeDocument/2006/relationships/hyperlink" Target="/dark_souls_3/item12137?wid=748" TargetMode="External"/><Relationship Id="rId217" Type="http://schemas.openxmlformats.org/officeDocument/2006/relationships/hyperlink" Target="/dark_souls_3/baike3126?wid=748" TargetMode="External"/><Relationship Id="rId216" Type="http://schemas.openxmlformats.org/officeDocument/2006/relationships/hyperlink" Target="/dark_souls_3/baike3125?wid=748" TargetMode="External"/><Relationship Id="rId215" Type="http://schemas.openxmlformats.org/officeDocument/2006/relationships/hyperlink" Target="/dark_souls_3/item12177?wid=748" TargetMode="External"/><Relationship Id="rId214" Type="http://schemas.openxmlformats.org/officeDocument/2006/relationships/hyperlink" Target="/dark_souls_3/baike3124?wid=748" TargetMode="External"/><Relationship Id="rId213" Type="http://schemas.openxmlformats.org/officeDocument/2006/relationships/hyperlink" Target="/dark_souls_3/baike3123?wid=748" TargetMode="External"/><Relationship Id="rId212" Type="http://schemas.openxmlformats.org/officeDocument/2006/relationships/hyperlink" Target="/dark_souls_3/item12176?wid=748" TargetMode="External"/><Relationship Id="rId211" Type="http://schemas.openxmlformats.org/officeDocument/2006/relationships/hyperlink" Target="/dark_souls_3/baike3120?wid=748" TargetMode="External"/><Relationship Id="rId210" Type="http://schemas.openxmlformats.org/officeDocument/2006/relationships/hyperlink" Target="/dark_souls_3/item12152?wid=748" TargetMode="External"/><Relationship Id="rId21" Type="http://schemas.openxmlformats.org/officeDocument/2006/relationships/hyperlink" Target="/dark_souls_3/baike3265?wid=736" TargetMode="External"/><Relationship Id="rId209" Type="http://schemas.openxmlformats.org/officeDocument/2006/relationships/hyperlink" Target="/dark_souls_3/baike3119?wid=748" TargetMode="External"/><Relationship Id="rId208" Type="http://schemas.openxmlformats.org/officeDocument/2006/relationships/hyperlink" Target="/dark_souls_3/item12143?wid=748" TargetMode="External"/><Relationship Id="rId207" Type="http://schemas.openxmlformats.org/officeDocument/2006/relationships/hyperlink" Target="/dark_souls_3/baike3118?wid=748" TargetMode="External"/><Relationship Id="rId206" Type="http://schemas.openxmlformats.org/officeDocument/2006/relationships/hyperlink" Target="/dark_souls_3/item12225?wid=747" TargetMode="External"/><Relationship Id="rId205" Type="http://schemas.openxmlformats.org/officeDocument/2006/relationships/hyperlink" Target="/dark_souls_3/baike3271?wid=747" TargetMode="External"/><Relationship Id="rId204" Type="http://schemas.openxmlformats.org/officeDocument/2006/relationships/hyperlink" Target="/dark_souls_3/item12212?wid=747" TargetMode="External"/><Relationship Id="rId203" Type="http://schemas.openxmlformats.org/officeDocument/2006/relationships/hyperlink" Target="/dark_souls_3/baike3253?wid=747" TargetMode="External"/><Relationship Id="rId202" Type="http://schemas.openxmlformats.org/officeDocument/2006/relationships/hyperlink" Target="/dark_souls_3/baike3117?wid=747" TargetMode="External"/><Relationship Id="rId201" Type="http://schemas.openxmlformats.org/officeDocument/2006/relationships/hyperlink" Target="/dark_souls_3/item12175?wid=747" TargetMode="External"/><Relationship Id="rId200" Type="http://schemas.openxmlformats.org/officeDocument/2006/relationships/hyperlink" Target="/dark_souls_3/baike3116?wid=747" TargetMode="External"/><Relationship Id="rId20" Type="http://schemas.openxmlformats.org/officeDocument/2006/relationships/hyperlink" Target="/dark_souls_3/item12222?wid=736" TargetMode="External"/><Relationship Id="rId2" Type="http://schemas.openxmlformats.org/officeDocument/2006/relationships/hyperlink" Target="/dark_souls_3/baike3013?wid=736" TargetMode="External"/><Relationship Id="rId199" Type="http://schemas.openxmlformats.org/officeDocument/2006/relationships/hyperlink" Target="/dark_souls_3/baike3114?wid=747" TargetMode="External"/><Relationship Id="rId198" Type="http://schemas.openxmlformats.org/officeDocument/2006/relationships/hyperlink" Target="/dark_souls_3/baike3113?wid=747" TargetMode="External"/><Relationship Id="rId197" Type="http://schemas.openxmlformats.org/officeDocument/2006/relationships/hyperlink" Target="/dark_souls_3/item12174?wid=747" TargetMode="External"/><Relationship Id="rId196" Type="http://schemas.openxmlformats.org/officeDocument/2006/relationships/hyperlink" Target="/dark_souls_3/baike3112?wid=747" TargetMode="External"/><Relationship Id="rId195" Type="http://schemas.openxmlformats.org/officeDocument/2006/relationships/hyperlink" Target="/dark_souls_3/item12172?wid=747" TargetMode="External"/><Relationship Id="rId194" Type="http://schemas.openxmlformats.org/officeDocument/2006/relationships/hyperlink" Target="/dark_souls_3/baike3109?wid=747" TargetMode="External"/><Relationship Id="rId193" Type="http://schemas.openxmlformats.org/officeDocument/2006/relationships/hyperlink" Target="/dark_souls_3/baike3108?wid=747" TargetMode="External"/><Relationship Id="rId192" Type="http://schemas.openxmlformats.org/officeDocument/2006/relationships/hyperlink" Target="/dark_souls_3/item12171?wid=747" TargetMode="External"/><Relationship Id="rId191" Type="http://schemas.openxmlformats.org/officeDocument/2006/relationships/hyperlink" Target="/dark_souls_3/baike3107?wid=747" TargetMode="External"/><Relationship Id="rId190" Type="http://schemas.openxmlformats.org/officeDocument/2006/relationships/hyperlink" Target="/dark_souls_3/item12170?wid=747" TargetMode="External"/><Relationship Id="rId19" Type="http://schemas.openxmlformats.org/officeDocument/2006/relationships/hyperlink" Target="/dark_souls_3/baike3264?wid=736" TargetMode="External"/><Relationship Id="rId189" Type="http://schemas.openxmlformats.org/officeDocument/2006/relationships/hyperlink" Target="/dark_souls_3/baike3106?wid=747" TargetMode="External"/><Relationship Id="rId188" Type="http://schemas.openxmlformats.org/officeDocument/2006/relationships/hyperlink" Target="/dark_souls_3/item12156?wid=747" TargetMode="External"/><Relationship Id="rId187" Type="http://schemas.openxmlformats.org/officeDocument/2006/relationships/hyperlink" Target="/dark_souls_3/baike3105?wid=747" TargetMode="External"/><Relationship Id="rId186" Type="http://schemas.openxmlformats.org/officeDocument/2006/relationships/hyperlink" Target="/dark_souls_3/baike3104?wid=747" TargetMode="External"/><Relationship Id="rId185" Type="http://schemas.openxmlformats.org/officeDocument/2006/relationships/hyperlink" Target="/dark_souls_3/item12155?wid=747" TargetMode="External"/><Relationship Id="rId184" Type="http://schemas.openxmlformats.org/officeDocument/2006/relationships/hyperlink" Target="/dark_souls_3/baike3103?wid=747" TargetMode="External"/><Relationship Id="rId183" Type="http://schemas.openxmlformats.org/officeDocument/2006/relationships/hyperlink" Target="/dark_souls_3/item12170?wid=746" TargetMode="External"/><Relationship Id="rId182" Type="http://schemas.openxmlformats.org/officeDocument/2006/relationships/hyperlink" Target="/dark_souls_3/baike3189?wid=746" TargetMode="External"/><Relationship Id="rId181" Type="http://schemas.openxmlformats.org/officeDocument/2006/relationships/hyperlink" Target="/dark_souls_3/baike3115?wid=746" TargetMode="External"/><Relationship Id="rId180" Type="http://schemas.openxmlformats.org/officeDocument/2006/relationships/hyperlink" Target="/dark_souls_3/item12174?wid=746" TargetMode="External"/><Relationship Id="rId18" Type="http://schemas.openxmlformats.org/officeDocument/2006/relationships/hyperlink" Target="/dark_souls_3/baike3185?wid=736" TargetMode="External"/><Relationship Id="rId179" Type="http://schemas.openxmlformats.org/officeDocument/2006/relationships/hyperlink" Target="/dark_souls_3/baike3111?wid=746" TargetMode="External"/><Relationship Id="rId178" Type="http://schemas.openxmlformats.org/officeDocument/2006/relationships/hyperlink" Target="/dark_souls_3/item12173?wid=746" TargetMode="External"/><Relationship Id="rId177" Type="http://schemas.openxmlformats.org/officeDocument/2006/relationships/hyperlink" Target="/dark_souls_3/baike3110?wid=746" TargetMode="External"/><Relationship Id="rId176" Type="http://schemas.openxmlformats.org/officeDocument/2006/relationships/hyperlink" Target="/dark_souls_3/baike3102?wid=746" TargetMode="External"/><Relationship Id="rId175" Type="http://schemas.openxmlformats.org/officeDocument/2006/relationships/hyperlink" Target="/dark_souls_3/baike3101?wid=746" TargetMode="External"/><Relationship Id="rId174" Type="http://schemas.openxmlformats.org/officeDocument/2006/relationships/hyperlink" Target="/dark_souls_3/item12156?wid=746" TargetMode="External"/><Relationship Id="rId173" Type="http://schemas.openxmlformats.org/officeDocument/2006/relationships/hyperlink" Target="/dark_souls_3/baike3100?wid=746" TargetMode="External"/><Relationship Id="rId172" Type="http://schemas.openxmlformats.org/officeDocument/2006/relationships/hyperlink" Target="/dark_souls_3/item12155?wid=746" TargetMode="External"/><Relationship Id="rId171" Type="http://schemas.openxmlformats.org/officeDocument/2006/relationships/hyperlink" Target="/dark_souls_3/baike3099?wid=746" TargetMode="External"/><Relationship Id="rId170" Type="http://schemas.openxmlformats.org/officeDocument/2006/relationships/hyperlink" Target="/dark_souls_3/item12211?wid=745" TargetMode="External"/><Relationship Id="rId17" Type="http://schemas.openxmlformats.org/officeDocument/2006/relationships/hyperlink" Target="/dark_souls_3/item12143?wid=736" TargetMode="External"/><Relationship Id="rId169" Type="http://schemas.openxmlformats.org/officeDocument/2006/relationships/hyperlink" Target="/dark_souls_3/baike3072?wid=745" TargetMode="External"/><Relationship Id="rId168" Type="http://schemas.openxmlformats.org/officeDocument/2006/relationships/hyperlink" Target="/dark_souls_3/baike3091?wid=745" TargetMode="External"/><Relationship Id="rId167" Type="http://schemas.openxmlformats.org/officeDocument/2006/relationships/hyperlink" Target="/dark_souls_3/baike3095?wid=745" TargetMode="External"/><Relationship Id="rId166" Type="http://schemas.openxmlformats.org/officeDocument/2006/relationships/hyperlink" Target="/dark_souls_3/item12167?wid=745" TargetMode="External"/><Relationship Id="rId165" Type="http://schemas.openxmlformats.org/officeDocument/2006/relationships/hyperlink" Target="/dark_souls_3/baike3096?wid=745" TargetMode="External"/><Relationship Id="rId164" Type="http://schemas.openxmlformats.org/officeDocument/2006/relationships/hyperlink" Target="/dark_souls_3/item12168?wid=745" TargetMode="External"/><Relationship Id="rId163" Type="http://schemas.openxmlformats.org/officeDocument/2006/relationships/hyperlink" Target="/dark_souls_3/baike3139?wid=745" TargetMode="External"/><Relationship Id="rId162" Type="http://schemas.openxmlformats.org/officeDocument/2006/relationships/hyperlink" Target="/dark_souls_3/item12155?wid=745" TargetMode="External"/><Relationship Id="rId161" Type="http://schemas.openxmlformats.org/officeDocument/2006/relationships/hyperlink" Target="/dark_souls_3/baike3184?wid=745" TargetMode="External"/><Relationship Id="rId160" Type="http://schemas.openxmlformats.org/officeDocument/2006/relationships/hyperlink" Target="/dark_souls_3/item12166?wid=745" TargetMode="External"/><Relationship Id="rId16" Type="http://schemas.openxmlformats.org/officeDocument/2006/relationships/hyperlink" Target="/dark_souls_3/baike3037?wid=736" TargetMode="External"/><Relationship Id="rId159" Type="http://schemas.openxmlformats.org/officeDocument/2006/relationships/hyperlink" Target="/dark_souls_3/baike3252?wid=745" TargetMode="External"/><Relationship Id="rId158" Type="http://schemas.openxmlformats.org/officeDocument/2006/relationships/hyperlink" Target="/dark_souls_3/baike3251?wid=744" TargetMode="External"/><Relationship Id="rId157" Type="http://schemas.openxmlformats.org/officeDocument/2006/relationships/hyperlink" Target="/dark_souls_3/item12182?wid=744" TargetMode="External"/><Relationship Id="rId156" Type="http://schemas.openxmlformats.org/officeDocument/2006/relationships/hyperlink" Target="/dark_souls_3/baike3182?wid=744" TargetMode="External"/><Relationship Id="rId155" Type="http://schemas.openxmlformats.org/officeDocument/2006/relationships/hyperlink" Target="/dark_souls_3/baike3098?wid=744" TargetMode="External"/><Relationship Id="rId154" Type="http://schemas.openxmlformats.org/officeDocument/2006/relationships/hyperlink" Target="/dark_souls_3/item12169?wid=744" TargetMode="External"/><Relationship Id="rId153" Type="http://schemas.openxmlformats.org/officeDocument/2006/relationships/hyperlink" Target="/dark_souls_3/baike3097?wid=744" TargetMode="External"/><Relationship Id="rId152" Type="http://schemas.openxmlformats.org/officeDocument/2006/relationships/hyperlink" Target="/dark_souls_3/item12134?wid=744" TargetMode="External"/><Relationship Id="rId151" Type="http://schemas.openxmlformats.org/officeDocument/2006/relationships/hyperlink" Target="/dark_souls_3/baike3094?wid=744" TargetMode="External"/><Relationship Id="rId150" Type="http://schemas.openxmlformats.org/officeDocument/2006/relationships/hyperlink" Target="/dark_souls_3/baike3093?wid=744" TargetMode="External"/><Relationship Id="rId15" Type="http://schemas.openxmlformats.org/officeDocument/2006/relationships/hyperlink" Target="/dark_souls_3/baike3021?wid=736" TargetMode="External"/><Relationship Id="rId149" Type="http://schemas.openxmlformats.org/officeDocument/2006/relationships/hyperlink" Target="/dark_souls_3/item12166?wid=744" TargetMode="External"/><Relationship Id="rId148" Type="http://schemas.openxmlformats.org/officeDocument/2006/relationships/hyperlink" Target="/dark_souls_3/baike3092?wid=744" TargetMode="External"/><Relationship Id="rId147" Type="http://schemas.openxmlformats.org/officeDocument/2006/relationships/hyperlink" Target="/dark_souls_3/baike3089?wid=744" TargetMode="External"/><Relationship Id="rId146" Type="http://schemas.openxmlformats.org/officeDocument/2006/relationships/hyperlink" Target="/dark_souls_3/baike3088?wid=744" TargetMode="External"/><Relationship Id="rId145" Type="http://schemas.openxmlformats.org/officeDocument/2006/relationships/hyperlink" Target="/dark_souls_3/item12155?wid=744" TargetMode="External"/><Relationship Id="rId144" Type="http://schemas.openxmlformats.org/officeDocument/2006/relationships/hyperlink" Target="/dark_souls_3/baike3087?wid=744" TargetMode="External"/><Relationship Id="rId143" Type="http://schemas.openxmlformats.org/officeDocument/2006/relationships/hyperlink" Target="/dark_souls_3/baike3269?wid=743" TargetMode="External"/><Relationship Id="rId142" Type="http://schemas.openxmlformats.org/officeDocument/2006/relationships/hyperlink" Target="/dark_souls_3/item12201?wid=743" TargetMode="External"/><Relationship Id="rId141" Type="http://schemas.openxmlformats.org/officeDocument/2006/relationships/hyperlink" Target="/dark_souls_3/baike3187?wid=743" TargetMode="External"/><Relationship Id="rId140" Type="http://schemas.openxmlformats.org/officeDocument/2006/relationships/hyperlink" Target="/dark_souls_3/item12151?wid=743" TargetMode="External"/><Relationship Id="rId14" Type="http://schemas.openxmlformats.org/officeDocument/2006/relationships/hyperlink" Target="/dark_souls_3/item12138?wid=736" TargetMode="External"/><Relationship Id="rId139" Type="http://schemas.openxmlformats.org/officeDocument/2006/relationships/hyperlink" Target="/dark_souls_3/baike3057?wid=743" TargetMode="External"/><Relationship Id="rId138" Type="http://schemas.openxmlformats.org/officeDocument/2006/relationships/hyperlink" Target="/dark_souls_3/item12150?wid=743" TargetMode="External"/><Relationship Id="rId137" Type="http://schemas.openxmlformats.org/officeDocument/2006/relationships/hyperlink" Target="/dark_souls_3/baike3056?wid=743" TargetMode="External"/><Relationship Id="rId136" Type="http://schemas.openxmlformats.org/officeDocument/2006/relationships/hyperlink" Target="/dark_souls_3/baike3055?wid=743" TargetMode="External"/><Relationship Id="rId135" Type="http://schemas.openxmlformats.org/officeDocument/2006/relationships/hyperlink" Target="/dark_souls_3/baike3054?wid=743" TargetMode="External"/><Relationship Id="rId134" Type="http://schemas.openxmlformats.org/officeDocument/2006/relationships/hyperlink" Target="/dark_souls_3/baike3053?wid=743" TargetMode="External"/><Relationship Id="rId133" Type="http://schemas.openxmlformats.org/officeDocument/2006/relationships/hyperlink" Target="/dark_souls_3/item12149?wid=743" TargetMode="External"/><Relationship Id="rId132" Type="http://schemas.openxmlformats.org/officeDocument/2006/relationships/hyperlink" Target="/dark_souls_3/baike3052?wid=743" TargetMode="External"/><Relationship Id="rId131" Type="http://schemas.openxmlformats.org/officeDocument/2006/relationships/hyperlink" Target="/dark_souls_3/item12220?wid=742" TargetMode="External"/><Relationship Id="rId130" Type="http://schemas.openxmlformats.org/officeDocument/2006/relationships/hyperlink" Target="/dark_souls_3/baike3260?wid=742" TargetMode="External"/><Relationship Id="rId13" Type="http://schemas.openxmlformats.org/officeDocument/2006/relationships/hyperlink" Target="/dark_souls_3/baike3020?wid=736" TargetMode="External"/><Relationship Id="rId129" Type="http://schemas.openxmlformats.org/officeDocument/2006/relationships/hyperlink" Target="/dark_souls_3/baike3041?wid=742" TargetMode="External"/><Relationship Id="rId128" Type="http://schemas.openxmlformats.org/officeDocument/2006/relationships/hyperlink" Target="/dark_souls_3/baike3040?wid=742" TargetMode="External"/><Relationship Id="rId127" Type="http://schemas.openxmlformats.org/officeDocument/2006/relationships/hyperlink" Target="/dark_souls_3/item12144?wid=742" TargetMode="External"/><Relationship Id="rId126" Type="http://schemas.openxmlformats.org/officeDocument/2006/relationships/hyperlink" Target="/dark_souls_3/baike3039?wid=742" TargetMode="External"/><Relationship Id="rId125" Type="http://schemas.openxmlformats.org/officeDocument/2006/relationships/hyperlink" Target="/dark_souls_3/item12139?wid=742" TargetMode="External"/><Relationship Id="rId124" Type="http://schemas.openxmlformats.org/officeDocument/2006/relationships/hyperlink" Target="/dark_souls_3/baike3038?wid=742" TargetMode="External"/><Relationship Id="rId123" Type="http://schemas.openxmlformats.org/officeDocument/2006/relationships/hyperlink" Target="/dark_souls_3/item12143?wid=742" TargetMode="External"/><Relationship Id="rId122" Type="http://schemas.openxmlformats.org/officeDocument/2006/relationships/hyperlink" Target="/dark_souls_3/baike3036?wid=742" TargetMode="External"/><Relationship Id="rId121" Type="http://schemas.openxmlformats.org/officeDocument/2006/relationships/hyperlink" Target="/dark_souls_3/item12224?wid=741" TargetMode="External"/><Relationship Id="rId120" Type="http://schemas.openxmlformats.org/officeDocument/2006/relationships/hyperlink" Target="/dark_souls_3/baike3270?wid=741" TargetMode="External"/><Relationship Id="rId12" Type="http://schemas.openxmlformats.org/officeDocument/2006/relationships/hyperlink" Target="/dark_souls_3/item12137?wid=736" TargetMode="External"/><Relationship Id="rId119" Type="http://schemas.openxmlformats.org/officeDocument/2006/relationships/hyperlink" Target="/dark_souls_3/item12164?wid=741" TargetMode="External"/><Relationship Id="rId118" Type="http://schemas.openxmlformats.org/officeDocument/2006/relationships/hyperlink" Target="/dark_souls_3/baike3085?wid=741" TargetMode="External"/><Relationship Id="rId117" Type="http://schemas.openxmlformats.org/officeDocument/2006/relationships/hyperlink" Target="/dark_souls_3/baike3067?wid=741" TargetMode="External"/><Relationship Id="rId116" Type="http://schemas.openxmlformats.org/officeDocument/2006/relationships/hyperlink" Target="/dark_souls_3/baike3063?wid=741" TargetMode="External"/><Relationship Id="rId115" Type="http://schemas.openxmlformats.org/officeDocument/2006/relationships/hyperlink" Target="/dark_souls_3/item12141?wid=741" TargetMode="External"/><Relationship Id="rId114" Type="http://schemas.openxmlformats.org/officeDocument/2006/relationships/hyperlink" Target="/dark_souls_3/baike3046?wid=741" TargetMode="External"/><Relationship Id="rId113" Type="http://schemas.openxmlformats.org/officeDocument/2006/relationships/hyperlink" Target="/dark_souls_3/baike3268?wid=740" TargetMode="External"/><Relationship Id="rId112" Type="http://schemas.openxmlformats.org/officeDocument/2006/relationships/hyperlink" Target="/dark_souls_3/item12210?wid=740" TargetMode="External"/><Relationship Id="rId111" Type="http://schemas.openxmlformats.org/officeDocument/2006/relationships/hyperlink" Target="/dark_souls_3/baike3250?wid=740" TargetMode="External"/><Relationship Id="rId110" Type="http://schemas.openxmlformats.org/officeDocument/2006/relationships/hyperlink" Target="/dark_souls_3/item12200?wid=740" TargetMode="External"/><Relationship Id="rId11" Type="http://schemas.openxmlformats.org/officeDocument/2006/relationships/hyperlink" Target="/dark_souls_3/baike3019?wid=736" TargetMode="External"/><Relationship Id="rId109" Type="http://schemas.openxmlformats.org/officeDocument/2006/relationships/hyperlink" Target="/dark_souls_3/baike3183?wid=740" TargetMode="External"/><Relationship Id="rId108" Type="http://schemas.openxmlformats.org/officeDocument/2006/relationships/hyperlink" Target="/dark_souls_3/baike3181?wid=740" TargetMode="External"/><Relationship Id="rId107" Type="http://schemas.openxmlformats.org/officeDocument/2006/relationships/hyperlink" Target="/dark_souls_3/baike3180?wid=740" TargetMode="External"/><Relationship Id="rId106" Type="http://schemas.openxmlformats.org/officeDocument/2006/relationships/hyperlink" Target="/dark_souls_3/baike3051?wid=740" TargetMode="External"/><Relationship Id="rId105" Type="http://schemas.openxmlformats.org/officeDocument/2006/relationships/hyperlink" Target="/dark_souls_3/item12148?wid=740" TargetMode="External"/><Relationship Id="rId104" Type="http://schemas.openxmlformats.org/officeDocument/2006/relationships/hyperlink" Target="/dark_souls_3/baike3050?wid=740" TargetMode="External"/><Relationship Id="rId103" Type="http://schemas.openxmlformats.org/officeDocument/2006/relationships/hyperlink" Target="/dark_souls_3/item12147?wid=740" TargetMode="External"/><Relationship Id="rId102" Type="http://schemas.openxmlformats.org/officeDocument/2006/relationships/hyperlink" Target="/dark_souls_3/baike3049?wid=740" TargetMode="External"/><Relationship Id="rId101" Type="http://schemas.openxmlformats.org/officeDocument/2006/relationships/hyperlink" Target="/dark_souls_3/item12146?wid=740" TargetMode="External"/><Relationship Id="rId100" Type="http://schemas.openxmlformats.org/officeDocument/2006/relationships/hyperlink" Target="/dark_souls_3/baike3048?wid=740" TargetMode="External"/><Relationship Id="rId10" Type="http://schemas.openxmlformats.org/officeDocument/2006/relationships/hyperlink" Target="/dark_souls_3/item12136?wid=736" TargetMode="External"/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9" Type="http://schemas.openxmlformats.org/officeDocument/2006/relationships/hyperlink" Target="/dark_souls_3/baike3200?wid=762" TargetMode="External"/><Relationship Id="rId81" Type="http://schemas.openxmlformats.org/officeDocument/2006/relationships/hyperlink" Target="/dark_souls_3/item12236?wid=764" TargetMode="External"/><Relationship Id="rId80" Type="http://schemas.openxmlformats.org/officeDocument/2006/relationships/hyperlink" Target="/dark_souls_3/baike3282?wid=764" TargetMode="External"/><Relationship Id="rId8" Type="http://schemas.openxmlformats.org/officeDocument/2006/relationships/hyperlink" Target="/dark_souls_3/item12202?wid=762" TargetMode="External"/><Relationship Id="rId79" Type="http://schemas.openxmlformats.org/officeDocument/2006/relationships/hyperlink" Target="/dark_souls_3/item12234?wid=764" TargetMode="External"/><Relationship Id="rId78" Type="http://schemas.openxmlformats.org/officeDocument/2006/relationships/hyperlink" Target="/dark_souls_3/baike3279?wid=764" TargetMode="External"/><Relationship Id="rId77" Type="http://schemas.openxmlformats.org/officeDocument/2006/relationships/hyperlink" Target="/dark_souls_3/baike3247?wid=764" TargetMode="External"/><Relationship Id="rId76" Type="http://schemas.openxmlformats.org/officeDocument/2006/relationships/hyperlink" Target="/dark_souls_3/item12208?wid=764" TargetMode="External"/><Relationship Id="rId75" Type="http://schemas.openxmlformats.org/officeDocument/2006/relationships/hyperlink" Target="/dark_souls_3/baike3246?wid=764" TargetMode="External"/><Relationship Id="rId74" Type="http://schemas.openxmlformats.org/officeDocument/2006/relationships/hyperlink" Target="/dark_souls_3/baike3245?wid=764" TargetMode="External"/><Relationship Id="rId73" Type="http://schemas.openxmlformats.org/officeDocument/2006/relationships/hyperlink" Target="/dark_souls_3/baike3244?wid=764" TargetMode="External"/><Relationship Id="rId72" Type="http://schemas.openxmlformats.org/officeDocument/2006/relationships/hyperlink" Target="/dark_souls_3/baike3243?wid=764" TargetMode="External"/><Relationship Id="rId71" Type="http://schemas.openxmlformats.org/officeDocument/2006/relationships/hyperlink" Target="/dark_souls_3/baike3242?wid=764" TargetMode="External"/><Relationship Id="rId70" Type="http://schemas.openxmlformats.org/officeDocument/2006/relationships/hyperlink" Target="/dark_souls_3/baike3241?wid=764" TargetMode="External"/><Relationship Id="rId7" Type="http://schemas.openxmlformats.org/officeDocument/2006/relationships/hyperlink" Target="/dark_souls_3/baike3198?wid=762" TargetMode="External"/><Relationship Id="rId69" Type="http://schemas.openxmlformats.org/officeDocument/2006/relationships/hyperlink" Target="/dark_souls_3/baike3240?wid=764" TargetMode="External"/><Relationship Id="rId68" Type="http://schemas.openxmlformats.org/officeDocument/2006/relationships/hyperlink" Target="/dark_souls_3/item12207?wid=764" TargetMode="External"/><Relationship Id="rId67" Type="http://schemas.openxmlformats.org/officeDocument/2006/relationships/hyperlink" Target="/dark_souls_3/baike3239?wid=764" TargetMode="External"/><Relationship Id="rId66" Type="http://schemas.openxmlformats.org/officeDocument/2006/relationships/hyperlink" Target="/dark_souls_3/baike3238?wid=764" TargetMode="External"/><Relationship Id="rId65" Type="http://schemas.openxmlformats.org/officeDocument/2006/relationships/hyperlink" Target="/dark_souls_3/baike3237?wid=764" TargetMode="External"/><Relationship Id="rId64" Type="http://schemas.openxmlformats.org/officeDocument/2006/relationships/hyperlink" Target="/dark_souls_3/item12202?wid=764" TargetMode="External"/><Relationship Id="rId63" Type="http://schemas.openxmlformats.org/officeDocument/2006/relationships/hyperlink" Target="/dark_souls_3/baike3236?wid=764" TargetMode="External"/><Relationship Id="rId62" Type="http://schemas.openxmlformats.org/officeDocument/2006/relationships/hyperlink" Target="/dark_souls_3/item12204?wid=764" TargetMode="External"/><Relationship Id="rId61" Type="http://schemas.openxmlformats.org/officeDocument/2006/relationships/hyperlink" Target="/dark_souls_3/baike3212?wid=764" TargetMode="External"/><Relationship Id="rId60" Type="http://schemas.openxmlformats.org/officeDocument/2006/relationships/hyperlink" Target="/dark_souls_3/item12203?wid=764" TargetMode="External"/><Relationship Id="rId6" Type="http://schemas.openxmlformats.org/officeDocument/2006/relationships/hyperlink" Target="/dark_souls_3/baike3195?wid=762" TargetMode="External"/><Relationship Id="rId59" Type="http://schemas.openxmlformats.org/officeDocument/2006/relationships/hyperlink" Target="/dark_souls_3/baike3199?wid=764" TargetMode="External"/><Relationship Id="rId58" Type="http://schemas.openxmlformats.org/officeDocument/2006/relationships/hyperlink" Target="/dark_souls_3/baike3262?wid=763" TargetMode="External"/><Relationship Id="rId57" Type="http://schemas.openxmlformats.org/officeDocument/2006/relationships/hyperlink" Target="/dark_souls_3/baike3261?wid=763" TargetMode="External"/><Relationship Id="rId56" Type="http://schemas.openxmlformats.org/officeDocument/2006/relationships/hyperlink" Target="/dark_souls_3/baike3235?wid=763" TargetMode="External"/><Relationship Id="rId55" Type="http://schemas.openxmlformats.org/officeDocument/2006/relationships/hyperlink" Target="/dark_souls_3/baike3234?wid=763" TargetMode="External"/><Relationship Id="rId54" Type="http://schemas.openxmlformats.org/officeDocument/2006/relationships/hyperlink" Target="/dark_souls_3/baike3233?wid=763" TargetMode="External"/><Relationship Id="rId53" Type="http://schemas.openxmlformats.org/officeDocument/2006/relationships/hyperlink" Target="/dark_souls_3/baike3232?wid=763" TargetMode="External"/><Relationship Id="rId52" Type="http://schemas.openxmlformats.org/officeDocument/2006/relationships/hyperlink" Target="/dark_souls_3/baike3231?wid=763" TargetMode="External"/><Relationship Id="rId51" Type="http://schemas.openxmlformats.org/officeDocument/2006/relationships/hyperlink" Target="/dark_souls_3/baike3230?wid=763" TargetMode="External"/><Relationship Id="rId50" Type="http://schemas.openxmlformats.org/officeDocument/2006/relationships/hyperlink" Target="/dark_souls_3/baike3229?wid=763" TargetMode="External"/><Relationship Id="rId5" Type="http://schemas.openxmlformats.org/officeDocument/2006/relationships/hyperlink" Target="/dark_souls_3/baike3194?wid=762" TargetMode="External"/><Relationship Id="rId49" Type="http://schemas.openxmlformats.org/officeDocument/2006/relationships/hyperlink" Target="/dark_souls_3/item12205?wid=763" TargetMode="External"/><Relationship Id="rId48" Type="http://schemas.openxmlformats.org/officeDocument/2006/relationships/hyperlink" Target="/dark_souls_3/baike3228?wid=763" TargetMode="External"/><Relationship Id="rId47" Type="http://schemas.openxmlformats.org/officeDocument/2006/relationships/hyperlink" Target="/dark_souls_3/baike3227?wid=763" TargetMode="External"/><Relationship Id="rId46" Type="http://schemas.openxmlformats.org/officeDocument/2006/relationships/hyperlink" Target="/dark_souls_3/baike3226?wid=763" TargetMode="External"/><Relationship Id="rId45" Type="http://schemas.openxmlformats.org/officeDocument/2006/relationships/hyperlink" Target="/dark_souls_3/baike3225?wid=763" TargetMode="External"/><Relationship Id="rId44" Type="http://schemas.openxmlformats.org/officeDocument/2006/relationships/hyperlink" Target="/dark_souls_3/baike3224?wid=763" TargetMode="External"/><Relationship Id="rId43" Type="http://schemas.openxmlformats.org/officeDocument/2006/relationships/hyperlink" Target="/dark_souls_3/baike3223?wid=763" TargetMode="External"/><Relationship Id="rId42" Type="http://schemas.openxmlformats.org/officeDocument/2006/relationships/hyperlink" Target="/dark_souls_3/baike3222?wid=763" TargetMode="External"/><Relationship Id="rId41" Type="http://schemas.openxmlformats.org/officeDocument/2006/relationships/hyperlink" Target="/dark_souls_3/baike3221?wid=763" TargetMode="External"/><Relationship Id="rId40" Type="http://schemas.openxmlformats.org/officeDocument/2006/relationships/hyperlink" Target="/dark_souls_3/item12202?wid=763" TargetMode="External"/><Relationship Id="rId4" Type="http://schemas.openxmlformats.org/officeDocument/2006/relationships/hyperlink" Target="/dark_souls_3/baike3191?wid=762" TargetMode="External"/><Relationship Id="rId39" Type="http://schemas.openxmlformats.org/officeDocument/2006/relationships/hyperlink" Target="/dark_souls_3/baike3220?wid=763" TargetMode="External"/><Relationship Id="rId38" Type="http://schemas.openxmlformats.org/officeDocument/2006/relationships/hyperlink" Target="/dark_souls_3/item12206?wid=763" TargetMode="External"/><Relationship Id="rId37" Type="http://schemas.openxmlformats.org/officeDocument/2006/relationships/hyperlink" Target="/dark_souls_3/baike3219?wid=763" TargetMode="External"/><Relationship Id="rId36" Type="http://schemas.openxmlformats.org/officeDocument/2006/relationships/hyperlink" Target="/dark_souls_3/baike3218?wid=763" TargetMode="External"/><Relationship Id="rId35" Type="http://schemas.openxmlformats.org/officeDocument/2006/relationships/hyperlink" Target="/dark_souls_3/baike3217?wid=763" TargetMode="External"/><Relationship Id="rId34" Type="http://schemas.openxmlformats.org/officeDocument/2006/relationships/hyperlink" Target="/dark_souls_3/baike3216?wid=763" TargetMode="External"/><Relationship Id="rId33" Type="http://schemas.openxmlformats.org/officeDocument/2006/relationships/hyperlink" Target="/dark_souls_3/item12204?wid=763" TargetMode="External"/><Relationship Id="rId32" Type="http://schemas.openxmlformats.org/officeDocument/2006/relationships/hyperlink" Target="/dark_souls_3/baike3215?wid=763" TargetMode="External"/><Relationship Id="rId31" Type="http://schemas.openxmlformats.org/officeDocument/2006/relationships/hyperlink" Target="/dark_souls_3/baike3214?wid=763" TargetMode="External"/><Relationship Id="rId30" Type="http://schemas.openxmlformats.org/officeDocument/2006/relationships/hyperlink" Target="/dark_souls_3/baike3213?wid=763" TargetMode="External"/><Relationship Id="rId3" Type="http://schemas.openxmlformats.org/officeDocument/2006/relationships/hyperlink" Target="/dark_souls_3/item12135?wid=762" TargetMode="External"/><Relationship Id="rId29" Type="http://schemas.openxmlformats.org/officeDocument/2006/relationships/hyperlink" Target="/dark_souls_3/baike3197?wid=763" TargetMode="External"/><Relationship Id="rId28" Type="http://schemas.openxmlformats.org/officeDocument/2006/relationships/hyperlink" Target="/dark_souls_3/baike3196?wid=763" TargetMode="External"/><Relationship Id="rId27" Type="http://schemas.openxmlformats.org/officeDocument/2006/relationships/hyperlink" Target="/dark_souls_3/baike3193?wid=763" TargetMode="External"/><Relationship Id="rId26" Type="http://schemas.openxmlformats.org/officeDocument/2006/relationships/hyperlink" Target="/dark_souls_3/item12135?wid=763" TargetMode="External"/><Relationship Id="rId25" Type="http://schemas.openxmlformats.org/officeDocument/2006/relationships/hyperlink" Target="/dark_souls_3/baike3192?wid=763" TargetMode="External"/><Relationship Id="rId24" Type="http://schemas.openxmlformats.org/officeDocument/2006/relationships/hyperlink" Target="/dark_souls_3/item12235?wid=762" TargetMode="External"/><Relationship Id="rId23" Type="http://schemas.openxmlformats.org/officeDocument/2006/relationships/hyperlink" Target="/dark_souls_3/baike3281?wid=762" TargetMode="External"/><Relationship Id="rId22" Type="http://schemas.openxmlformats.org/officeDocument/2006/relationships/hyperlink" Target="/dark_souls_3/item12205?wid=762" TargetMode="External"/><Relationship Id="rId21" Type="http://schemas.openxmlformats.org/officeDocument/2006/relationships/hyperlink" Target="/dark_souls_3/baike3211?wid=762" TargetMode="External"/><Relationship Id="rId20" Type="http://schemas.openxmlformats.org/officeDocument/2006/relationships/hyperlink" Target="/dark_souls_3/baike3210?wid=762" TargetMode="External"/><Relationship Id="rId2" Type="http://schemas.openxmlformats.org/officeDocument/2006/relationships/hyperlink" Target="/dark_souls_3/baike3190?wid=762" TargetMode="External"/><Relationship Id="rId19" Type="http://schemas.openxmlformats.org/officeDocument/2006/relationships/hyperlink" Target="/dark_souls_3/baike3209?wid=762" TargetMode="External"/><Relationship Id="rId18" Type="http://schemas.openxmlformats.org/officeDocument/2006/relationships/hyperlink" Target="/dark_souls_3/baike3208?wid=762" TargetMode="External"/><Relationship Id="rId17" Type="http://schemas.openxmlformats.org/officeDocument/2006/relationships/hyperlink" Target="/dark_souls_3/baike3207?wid=762" TargetMode="External"/><Relationship Id="rId16" Type="http://schemas.openxmlformats.org/officeDocument/2006/relationships/hyperlink" Target="/dark_souls_3/baike3206?wid=762" TargetMode="External"/><Relationship Id="rId15" Type="http://schemas.openxmlformats.org/officeDocument/2006/relationships/hyperlink" Target="/dark_souls_3/baike3205?wid=762" TargetMode="External"/><Relationship Id="rId14" Type="http://schemas.openxmlformats.org/officeDocument/2006/relationships/hyperlink" Target="/dark_souls_3/baike3204?wid=762" TargetMode="External"/><Relationship Id="rId13" Type="http://schemas.openxmlformats.org/officeDocument/2006/relationships/hyperlink" Target="/dark_souls_3/baike3203?wid=762" TargetMode="External"/><Relationship Id="rId12" Type="http://schemas.openxmlformats.org/officeDocument/2006/relationships/hyperlink" Target="/dark_souls_3/item12204?wid=762" TargetMode="External"/><Relationship Id="rId11" Type="http://schemas.openxmlformats.org/officeDocument/2006/relationships/hyperlink" Target="/dark_souls_3/baike3202?wid=762" TargetMode="External"/><Relationship Id="rId10" Type="http://schemas.openxmlformats.org/officeDocument/2006/relationships/hyperlink" Target="/dark_souls_3/baike3201?wid=762" TargetMode="External"/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99" Type="http://schemas.openxmlformats.org/officeDocument/2006/relationships/hyperlink" Target="/dark_souls_3/baike3718?wid=102" TargetMode="External"/><Relationship Id="rId98" Type="http://schemas.openxmlformats.org/officeDocument/2006/relationships/hyperlink" Target="/dark_souls_3/baike3717?wid=102" TargetMode="External"/><Relationship Id="rId97" Type="http://schemas.openxmlformats.org/officeDocument/2006/relationships/hyperlink" Target="/dark_souls_3/baike3764?wid=102" TargetMode="External"/><Relationship Id="rId96" Type="http://schemas.openxmlformats.org/officeDocument/2006/relationships/hyperlink" Target="/dark_souls_3/baike3763?wid=102" TargetMode="External"/><Relationship Id="rId95" Type="http://schemas.openxmlformats.org/officeDocument/2006/relationships/hyperlink" Target="/dark_souls_3/baike3762?wid=102" TargetMode="External"/><Relationship Id="rId94" Type="http://schemas.openxmlformats.org/officeDocument/2006/relationships/hyperlink" Target="/dark_souls_3/baike3761?wid=102" TargetMode="External"/><Relationship Id="rId93" Type="http://schemas.openxmlformats.org/officeDocument/2006/relationships/hyperlink" Target="/dark_souls_3/baike3765?wid=102" TargetMode="External"/><Relationship Id="rId92" Type="http://schemas.openxmlformats.org/officeDocument/2006/relationships/hyperlink" Target="/dark_souls_3/baike3714?wid=102" TargetMode="External"/><Relationship Id="rId91" Type="http://schemas.openxmlformats.org/officeDocument/2006/relationships/hyperlink" Target="/dark_souls_3/baike3713?wid=102" TargetMode="External"/><Relationship Id="rId90" Type="http://schemas.openxmlformats.org/officeDocument/2006/relationships/hyperlink" Target="/dark_souls_3/baike3712?wid=102" TargetMode="External"/><Relationship Id="rId9" Type="http://schemas.openxmlformats.org/officeDocument/2006/relationships/hyperlink" Target="/dark_souls_3/baike3676?wid=102" TargetMode="External"/><Relationship Id="rId89" Type="http://schemas.openxmlformats.org/officeDocument/2006/relationships/hyperlink" Target="/dark_souls_3/baike3782?wid=102" TargetMode="External"/><Relationship Id="rId88" Type="http://schemas.openxmlformats.org/officeDocument/2006/relationships/hyperlink" Target="/dark_souls_3/baike3787?wid=102" TargetMode="External"/><Relationship Id="rId87" Type="http://schemas.openxmlformats.org/officeDocument/2006/relationships/hyperlink" Target="/dark_souls_3/baike3775?wid=102" TargetMode="External"/><Relationship Id="rId86" Type="http://schemas.openxmlformats.org/officeDocument/2006/relationships/hyperlink" Target="/dark_souls_3/baike3773?wid=102" TargetMode="External"/><Relationship Id="rId85" Type="http://schemas.openxmlformats.org/officeDocument/2006/relationships/hyperlink" Target="/dark_souls_3/baike3772?wid=102" TargetMode="External"/><Relationship Id="rId84" Type="http://schemas.openxmlformats.org/officeDocument/2006/relationships/hyperlink" Target="/dark_souls_3/baike3771?wid=102" TargetMode="External"/><Relationship Id="rId83" Type="http://schemas.openxmlformats.org/officeDocument/2006/relationships/hyperlink" Target="/dark_souls_3/baike3770?wid=102" TargetMode="External"/><Relationship Id="rId82" Type="http://schemas.openxmlformats.org/officeDocument/2006/relationships/hyperlink" Target="/dark_souls_3/baike3760?wid=102" TargetMode="External"/><Relationship Id="rId81" Type="http://schemas.openxmlformats.org/officeDocument/2006/relationships/hyperlink" Target="/dark_souls_3/baike3744?wid=102" TargetMode="External"/><Relationship Id="rId80" Type="http://schemas.openxmlformats.org/officeDocument/2006/relationships/hyperlink" Target="/dark_souls_3/baike3743?wid=102" TargetMode="External"/><Relationship Id="rId8" Type="http://schemas.openxmlformats.org/officeDocument/2006/relationships/hyperlink" Target="/dark_souls_3/baike3675?wid=102" TargetMode="External"/><Relationship Id="rId79" Type="http://schemas.openxmlformats.org/officeDocument/2006/relationships/hyperlink" Target="/dark_souls_3/baike3722?wid=102" TargetMode="External"/><Relationship Id="rId78" Type="http://schemas.openxmlformats.org/officeDocument/2006/relationships/hyperlink" Target="/dark_souls_3/baike3721?wid=102" TargetMode="External"/><Relationship Id="rId77" Type="http://schemas.openxmlformats.org/officeDocument/2006/relationships/hyperlink" Target="/dark_souls_3/baike3720?wid=102" TargetMode="External"/><Relationship Id="rId76" Type="http://schemas.openxmlformats.org/officeDocument/2006/relationships/hyperlink" Target="/dark_souls_3/baike3719?wid=102" TargetMode="External"/><Relationship Id="rId75" Type="http://schemas.openxmlformats.org/officeDocument/2006/relationships/hyperlink" Target="/dark_souls_3/baike3723?wid=102" TargetMode="External"/><Relationship Id="rId74" Type="http://schemas.openxmlformats.org/officeDocument/2006/relationships/hyperlink" Target="/dark_souls_3/baike3739?wid=102" TargetMode="External"/><Relationship Id="rId73" Type="http://schemas.openxmlformats.org/officeDocument/2006/relationships/hyperlink" Target="/dark_souls_3/baike3737?wid=102" TargetMode="External"/><Relationship Id="rId72" Type="http://schemas.openxmlformats.org/officeDocument/2006/relationships/hyperlink" Target="/dark_souls_3/baike3736?wid=102" TargetMode="External"/><Relationship Id="rId71" Type="http://schemas.openxmlformats.org/officeDocument/2006/relationships/hyperlink" Target="/dark_souls_3/baike3735?wid=102" TargetMode="External"/><Relationship Id="rId70" Type="http://schemas.openxmlformats.org/officeDocument/2006/relationships/hyperlink" Target="/dark_souls_3/baike3734?wid=102" TargetMode="External"/><Relationship Id="rId7" Type="http://schemas.openxmlformats.org/officeDocument/2006/relationships/hyperlink" Target="/dark_souls_3/baike3781?wid=102" TargetMode="External"/><Relationship Id="rId69" Type="http://schemas.openxmlformats.org/officeDocument/2006/relationships/hyperlink" Target="/dark_souls_3/baike3733?wid=102" TargetMode="External"/><Relationship Id="rId68" Type="http://schemas.openxmlformats.org/officeDocument/2006/relationships/hyperlink" Target="/dark_souls_3/baike3732?wid=102" TargetMode="External"/><Relationship Id="rId67" Type="http://schemas.openxmlformats.org/officeDocument/2006/relationships/hyperlink" Target="/dark_souls_3/baike3731?wid=102" TargetMode="External"/><Relationship Id="rId66" Type="http://schemas.openxmlformats.org/officeDocument/2006/relationships/hyperlink" Target="/dark_souls_3/baike3730?wid=102" TargetMode="External"/><Relationship Id="rId65" Type="http://schemas.openxmlformats.org/officeDocument/2006/relationships/hyperlink" Target="/dark_souls_3/baike3729?wid=102" TargetMode="External"/><Relationship Id="rId64" Type="http://schemas.openxmlformats.org/officeDocument/2006/relationships/hyperlink" Target="/dark_souls_3/baike3728?wid=102" TargetMode="External"/><Relationship Id="rId63" Type="http://schemas.openxmlformats.org/officeDocument/2006/relationships/hyperlink" Target="/dark_souls_3/baike3727?wid=102" TargetMode="External"/><Relationship Id="rId62" Type="http://schemas.openxmlformats.org/officeDocument/2006/relationships/hyperlink" Target="/dark_souls_3/baike3726?wid=102" TargetMode="External"/><Relationship Id="rId61" Type="http://schemas.openxmlformats.org/officeDocument/2006/relationships/hyperlink" Target="/dark_souls_3/baike3742?wid=102" TargetMode="External"/><Relationship Id="rId60" Type="http://schemas.openxmlformats.org/officeDocument/2006/relationships/hyperlink" Target="/dark_souls_3/baike3741?wid=102" TargetMode="External"/><Relationship Id="rId6" Type="http://schemas.openxmlformats.org/officeDocument/2006/relationships/hyperlink" Target="/dark_souls_3/baike3780?wid=102" TargetMode="External"/><Relationship Id="rId59" Type="http://schemas.openxmlformats.org/officeDocument/2006/relationships/hyperlink" Target="/dark_souls_3/baike3740?wid=102" TargetMode="External"/><Relationship Id="rId58" Type="http://schemas.openxmlformats.org/officeDocument/2006/relationships/hyperlink" Target="/dark_souls_3/baike3752?wid=102" TargetMode="External"/><Relationship Id="rId57" Type="http://schemas.openxmlformats.org/officeDocument/2006/relationships/hyperlink" Target="/dark_souls_3/baike3751?wid=102" TargetMode="External"/><Relationship Id="rId56" Type="http://schemas.openxmlformats.org/officeDocument/2006/relationships/hyperlink" Target="/dark_souls_3/baike3750?wid=102" TargetMode="External"/><Relationship Id="rId55" Type="http://schemas.openxmlformats.org/officeDocument/2006/relationships/hyperlink" Target="/dark_souls_3/baike3749?wid=102" TargetMode="External"/><Relationship Id="rId54" Type="http://schemas.openxmlformats.org/officeDocument/2006/relationships/hyperlink" Target="/dark_souls_3/baike3748?wid=102" TargetMode="External"/><Relationship Id="rId53" Type="http://schemas.openxmlformats.org/officeDocument/2006/relationships/hyperlink" Target="/dark_souls_3/baike3747?wid=102" TargetMode="External"/><Relationship Id="rId52" Type="http://schemas.openxmlformats.org/officeDocument/2006/relationships/hyperlink" Target="/dark_souls_3/baike3746?wid=102" TargetMode="External"/><Relationship Id="rId51" Type="http://schemas.openxmlformats.org/officeDocument/2006/relationships/hyperlink" Target="/dark_souls_3/baike3745?wid=102" TargetMode="External"/><Relationship Id="rId50" Type="http://schemas.openxmlformats.org/officeDocument/2006/relationships/hyperlink" Target="/dark_souls_3/baike3716?wid=102" TargetMode="External"/><Relationship Id="rId5" Type="http://schemas.openxmlformats.org/officeDocument/2006/relationships/hyperlink" Target="/dark_souls_3/baike3753?wid=102" TargetMode="External"/><Relationship Id="rId49" Type="http://schemas.openxmlformats.org/officeDocument/2006/relationships/hyperlink" Target="/dark_souls_3/baike3715?wid=102" TargetMode="External"/><Relationship Id="rId48" Type="http://schemas.openxmlformats.org/officeDocument/2006/relationships/hyperlink" Target="/dark_souls_3/baike3759?wid=102" TargetMode="External"/><Relationship Id="rId47" Type="http://schemas.openxmlformats.org/officeDocument/2006/relationships/hyperlink" Target="/dark_souls_3/baike3758?wid=102" TargetMode="External"/><Relationship Id="rId46" Type="http://schemas.openxmlformats.org/officeDocument/2006/relationships/hyperlink" Target="/dark_souls_3/baike3711?wid=102" TargetMode="External"/><Relationship Id="rId45" Type="http://schemas.openxmlformats.org/officeDocument/2006/relationships/hyperlink" Target="/dark_souls_3/baike3710?wid=102" TargetMode="External"/><Relationship Id="rId44" Type="http://schemas.openxmlformats.org/officeDocument/2006/relationships/hyperlink" Target="/dark_souls_3/baike3709?wid=102" TargetMode="External"/><Relationship Id="rId43" Type="http://schemas.openxmlformats.org/officeDocument/2006/relationships/hyperlink" Target="/dark_souls_3/baike3788?wid=102" TargetMode="External"/><Relationship Id="rId42" Type="http://schemas.openxmlformats.org/officeDocument/2006/relationships/hyperlink" Target="/dark_souls_3/baike3708?wid=102" TargetMode="External"/><Relationship Id="rId41" Type="http://schemas.openxmlformats.org/officeDocument/2006/relationships/hyperlink" Target="/dark_souls_3/baike3707?wid=102" TargetMode="External"/><Relationship Id="rId40" Type="http://schemas.openxmlformats.org/officeDocument/2006/relationships/hyperlink" Target="/dark_souls_3/baike3706?wid=102" TargetMode="External"/><Relationship Id="rId4" Type="http://schemas.openxmlformats.org/officeDocument/2006/relationships/hyperlink" Target="/dark_souls_3/baike3674?wid=102" TargetMode="External"/><Relationship Id="rId39" Type="http://schemas.openxmlformats.org/officeDocument/2006/relationships/hyperlink" Target="/dark_souls_3/baike3705?wid=102" TargetMode="External"/><Relationship Id="rId38" Type="http://schemas.openxmlformats.org/officeDocument/2006/relationships/hyperlink" Target="/dark_souls_3/baike3704?wid=102" TargetMode="External"/><Relationship Id="rId37" Type="http://schemas.openxmlformats.org/officeDocument/2006/relationships/hyperlink" Target="/dark_souls_3/baike3703?wid=102" TargetMode="External"/><Relationship Id="rId36" Type="http://schemas.openxmlformats.org/officeDocument/2006/relationships/hyperlink" Target="/dark_souls_3/baike3702?wid=102" TargetMode="External"/><Relationship Id="rId35" Type="http://schemas.openxmlformats.org/officeDocument/2006/relationships/hyperlink" Target="/dark_souls_3/baike3701?wid=102" TargetMode="External"/><Relationship Id="rId34" Type="http://schemas.openxmlformats.org/officeDocument/2006/relationships/hyperlink" Target="/dark_souls_3/baike3700?wid=102" TargetMode="External"/><Relationship Id="rId33" Type="http://schemas.openxmlformats.org/officeDocument/2006/relationships/hyperlink" Target="/dark_souls_3/baike3696?wid=102" TargetMode="External"/><Relationship Id="rId32" Type="http://schemas.openxmlformats.org/officeDocument/2006/relationships/hyperlink" Target="/dark_souls_3/baike3695?wid=102" TargetMode="External"/><Relationship Id="rId31" Type="http://schemas.openxmlformats.org/officeDocument/2006/relationships/hyperlink" Target="/dark_souls_3/baike3694?wid=102" TargetMode="External"/><Relationship Id="rId30" Type="http://schemas.openxmlformats.org/officeDocument/2006/relationships/hyperlink" Target="/dark_souls_3/baike3693?wid=102" TargetMode="External"/><Relationship Id="rId3" Type="http://schemas.openxmlformats.org/officeDocument/2006/relationships/hyperlink" Target="/dark_souls_3/baike3673?wid=102" TargetMode="External"/><Relationship Id="rId29" Type="http://schemas.openxmlformats.org/officeDocument/2006/relationships/hyperlink" Target="/dark_souls_3/baike3692?wid=102" TargetMode="External"/><Relationship Id="rId28" Type="http://schemas.openxmlformats.org/officeDocument/2006/relationships/hyperlink" Target="/dark_souls_3/baike3691?wid=102" TargetMode="External"/><Relationship Id="rId27" Type="http://schemas.openxmlformats.org/officeDocument/2006/relationships/hyperlink" Target="/dark_souls_3/baike3699?wid=102" TargetMode="External"/><Relationship Id="rId26" Type="http://schemas.openxmlformats.org/officeDocument/2006/relationships/hyperlink" Target="/dark_souls_3/baike3698?wid=102" TargetMode="External"/><Relationship Id="rId25" Type="http://schemas.openxmlformats.org/officeDocument/2006/relationships/hyperlink" Target="/dark_souls_3/baike3697?wid=102" TargetMode="External"/><Relationship Id="rId24" Type="http://schemas.openxmlformats.org/officeDocument/2006/relationships/hyperlink" Target="/dark_souls_3/baike3690?wid=102" TargetMode="External"/><Relationship Id="rId23" Type="http://schemas.openxmlformats.org/officeDocument/2006/relationships/hyperlink" Target="/dark_souls_3/baike3689?wid=102" TargetMode="External"/><Relationship Id="rId22" Type="http://schemas.openxmlformats.org/officeDocument/2006/relationships/hyperlink" Target="/dark_souls_3/baike3688?wid=102" TargetMode="External"/><Relationship Id="rId21" Type="http://schemas.openxmlformats.org/officeDocument/2006/relationships/hyperlink" Target="/dark_souls_3/baike3687?wid=102" TargetMode="External"/><Relationship Id="rId20" Type="http://schemas.openxmlformats.org/officeDocument/2006/relationships/hyperlink" Target="/dark_souls_3/baike3766?wid=102" TargetMode="External"/><Relationship Id="rId2" Type="http://schemas.openxmlformats.org/officeDocument/2006/relationships/hyperlink" Target="/dark_souls_3/baike3672?wid=102" TargetMode="External"/><Relationship Id="rId19" Type="http://schemas.openxmlformats.org/officeDocument/2006/relationships/hyperlink" Target="/dark_souls_3/baike3686?wid=102" TargetMode="External"/><Relationship Id="rId18" Type="http://schemas.openxmlformats.org/officeDocument/2006/relationships/hyperlink" Target="/dark_souls_3/baike3685?wid=102" TargetMode="External"/><Relationship Id="rId17" Type="http://schemas.openxmlformats.org/officeDocument/2006/relationships/hyperlink" Target="/dark_souls_3/baike3684?wid=102" TargetMode="External"/><Relationship Id="rId16" Type="http://schemas.openxmlformats.org/officeDocument/2006/relationships/hyperlink" Target="/dark_souls_3/baike3683?wid=102" TargetMode="External"/><Relationship Id="rId15" Type="http://schemas.openxmlformats.org/officeDocument/2006/relationships/hyperlink" Target="/dark_souls_3/baike3682?wid=102" TargetMode="External"/><Relationship Id="rId14" Type="http://schemas.openxmlformats.org/officeDocument/2006/relationships/hyperlink" Target="/dark_souls_3/baike3681?wid=102" TargetMode="External"/><Relationship Id="rId13" Type="http://schemas.openxmlformats.org/officeDocument/2006/relationships/hyperlink" Target="/dark_souls_3/baike3680?wid=102" TargetMode="External"/><Relationship Id="rId12" Type="http://schemas.openxmlformats.org/officeDocument/2006/relationships/hyperlink" Target="/dark_souls_3/baike3679?wid=102" TargetMode="External"/><Relationship Id="rId118" Type="http://schemas.openxmlformats.org/officeDocument/2006/relationships/hyperlink" Target="/dark_souls_3/baike3768?wid=102" TargetMode="External"/><Relationship Id="rId117" Type="http://schemas.openxmlformats.org/officeDocument/2006/relationships/hyperlink" Target="/dark_souls_3/baike3725?wid=102" TargetMode="External"/><Relationship Id="rId116" Type="http://schemas.openxmlformats.org/officeDocument/2006/relationships/hyperlink" Target="/dark_souls_3/baike3724?wid=102" TargetMode="External"/><Relationship Id="rId115" Type="http://schemas.openxmlformats.org/officeDocument/2006/relationships/hyperlink" Target="/dark_souls_3/baike3774?wid=102" TargetMode="External"/><Relationship Id="rId114" Type="http://schemas.openxmlformats.org/officeDocument/2006/relationships/hyperlink" Target="/dark_souls_3/baike3755?wid=102" TargetMode="External"/><Relationship Id="rId113" Type="http://schemas.openxmlformats.org/officeDocument/2006/relationships/hyperlink" Target="/dark_souls_3/baike3784?wid=102" TargetMode="External"/><Relationship Id="rId112" Type="http://schemas.openxmlformats.org/officeDocument/2006/relationships/hyperlink" Target="/dark_souls_3/baike3756?wid=102" TargetMode="External"/><Relationship Id="rId111" Type="http://schemas.openxmlformats.org/officeDocument/2006/relationships/hyperlink" Target="/dark_souls_3/baike3767?wid=102" TargetMode="External"/><Relationship Id="rId110" Type="http://schemas.openxmlformats.org/officeDocument/2006/relationships/hyperlink" Target="/dark_souls_3/baike3769?wid=102" TargetMode="External"/><Relationship Id="rId11" Type="http://schemas.openxmlformats.org/officeDocument/2006/relationships/hyperlink" Target="/dark_souls_3/baike3678?wid=102" TargetMode="External"/><Relationship Id="rId109" Type="http://schemas.openxmlformats.org/officeDocument/2006/relationships/hyperlink" Target="/dark_souls_3/baike3738?wid=102" TargetMode="External"/><Relationship Id="rId108" Type="http://schemas.openxmlformats.org/officeDocument/2006/relationships/hyperlink" Target="/dark_souls_3/baike3754?wid=102" TargetMode="External"/><Relationship Id="rId107" Type="http://schemas.openxmlformats.org/officeDocument/2006/relationships/hyperlink" Target="/dark_souls_3/baike3777?wid=102" TargetMode="External"/><Relationship Id="rId106" Type="http://schemas.openxmlformats.org/officeDocument/2006/relationships/hyperlink" Target="/dark_souls_3/baike3776?wid=102" TargetMode="External"/><Relationship Id="rId105" Type="http://schemas.openxmlformats.org/officeDocument/2006/relationships/hyperlink" Target="/dark_souls_3/baike3786?wid=102" TargetMode="External"/><Relationship Id="rId104" Type="http://schemas.openxmlformats.org/officeDocument/2006/relationships/hyperlink" Target="/dark_souls_3/baike3785?wid=102" TargetMode="External"/><Relationship Id="rId103" Type="http://schemas.openxmlformats.org/officeDocument/2006/relationships/hyperlink" Target="/dark_souls_3/baike3783?wid=102" TargetMode="External"/><Relationship Id="rId102" Type="http://schemas.openxmlformats.org/officeDocument/2006/relationships/hyperlink" Target="/dark_souls_3/baike3757?wid=102" TargetMode="External"/><Relationship Id="rId101" Type="http://schemas.openxmlformats.org/officeDocument/2006/relationships/hyperlink" Target="/dark_souls_3/baike3779?wid=102" TargetMode="External"/><Relationship Id="rId100" Type="http://schemas.openxmlformats.org/officeDocument/2006/relationships/hyperlink" Target="/dark_souls_3/baike3778?wid=102" TargetMode="External"/><Relationship Id="rId10" Type="http://schemas.openxmlformats.org/officeDocument/2006/relationships/hyperlink" Target="/dark_souls_3/baike3677?wid=102" TargetMode="External"/><Relationship Id="rId1" Type="http://schemas.openxmlformats.org/officeDocument/2006/relationships/hyperlink" Target="/dark_souls_3/baike3671?wid=10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F28"/>
  <sheetViews>
    <sheetView workbookViewId="0">
      <pane xSplit="1" ySplit="2" topLeftCell="B12" activePane="bottomRight" state="frozen"/>
      <selection/>
      <selection pane="topRight"/>
      <selection pane="bottomLeft"/>
      <selection pane="bottomRight" activeCell="G23" sqref="G23"/>
    </sheetView>
  </sheetViews>
  <sheetFormatPr defaultColWidth="9" defaultRowHeight="13.5"/>
  <cols>
    <col min="1" max="1" width="9" style="1"/>
    <col min="2" max="2" width="12.5" style="1"/>
    <col min="3" max="16384" width="9" style="1"/>
  </cols>
  <sheetData>
    <row r="1" ht="48" spans="1:3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2" t="s">
        <v>10</v>
      </c>
      <c r="L1" s="2" t="s">
        <v>11</v>
      </c>
      <c r="M1" s="2" t="s">
        <v>12</v>
      </c>
      <c r="N1" s="2" t="s">
        <v>13</v>
      </c>
      <c r="O1" s="2" t="s">
        <v>14</v>
      </c>
      <c r="P1" s="2" t="s">
        <v>15</v>
      </c>
      <c r="Q1" s="2" t="s">
        <v>16</v>
      </c>
      <c r="R1" s="2" t="s">
        <v>17</v>
      </c>
      <c r="S1" s="2" t="s">
        <v>18</v>
      </c>
      <c r="T1" s="2" t="s">
        <v>19</v>
      </c>
      <c r="U1" s="2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</row>
    <row r="2" s="1" customFormat="1" ht="75" spans="1:32">
      <c r="A2" s="4" t="s">
        <v>32</v>
      </c>
      <c r="B2" s="1" t="str">
        <f>_xlfn.DISPIMG("ID_E5C4E6AB8D014051A873921D3923B7EE",1)</f>
        <v>=DISPIMG("ID_E5C4E6AB8D014051A873921D3923B7EE",1)</v>
      </c>
      <c r="C2" s="1" t="s">
        <v>33</v>
      </c>
      <c r="D2" s="4">
        <v>60</v>
      </c>
      <c r="E2" s="4">
        <v>0</v>
      </c>
      <c r="F2" s="4">
        <v>0</v>
      </c>
      <c r="G2" s="4">
        <v>0</v>
      </c>
      <c r="H2" s="4">
        <v>0</v>
      </c>
      <c r="I2" s="4">
        <v>100</v>
      </c>
      <c r="J2" s="4">
        <v>100</v>
      </c>
      <c r="K2" s="4">
        <v>240</v>
      </c>
      <c r="L2" s="4">
        <v>25</v>
      </c>
      <c r="M2" s="4">
        <v>20</v>
      </c>
      <c r="N2" s="4">
        <v>10</v>
      </c>
      <c r="O2" s="4">
        <v>10</v>
      </c>
      <c r="P2" s="4">
        <v>15</v>
      </c>
      <c r="Q2" s="4">
        <v>10</v>
      </c>
      <c r="R2" s="4">
        <v>0</v>
      </c>
      <c r="S2" s="4">
        <v>0</v>
      </c>
      <c r="T2" s="4">
        <v>0</v>
      </c>
      <c r="U2" s="4" t="s">
        <v>34</v>
      </c>
      <c r="V2" s="4" t="s">
        <v>35</v>
      </c>
      <c r="W2" s="4" t="s">
        <v>36</v>
      </c>
      <c r="X2" s="4" t="s">
        <v>35</v>
      </c>
      <c r="Y2" s="4">
        <v>6</v>
      </c>
      <c r="Z2" s="4">
        <v>0</v>
      </c>
      <c r="AA2" s="4">
        <v>10</v>
      </c>
      <c r="AB2" s="4">
        <v>0</v>
      </c>
      <c r="AC2" s="4" t="s">
        <v>37</v>
      </c>
      <c r="AD2" s="4" t="s">
        <v>38</v>
      </c>
      <c r="AE2" s="4">
        <v>2</v>
      </c>
      <c r="AF2" s="4">
        <v>50</v>
      </c>
    </row>
    <row r="3" s="1" customFormat="1" ht="75" spans="1:32">
      <c r="A3" s="4" t="s">
        <v>39</v>
      </c>
      <c r="B3" s="1" t="str">
        <f>_xlfn.DISPIMG("ID_4C73857D2DBD4D24B1D7165FA12F466B",1)</f>
        <v>=DISPIMG("ID_4C73857D2DBD4D24B1D7165FA12F466B",1)</v>
      </c>
      <c r="C3" s="1" t="s">
        <v>33</v>
      </c>
      <c r="D3" s="4">
        <v>60</v>
      </c>
      <c r="E3" s="4">
        <v>0</v>
      </c>
      <c r="F3" s="4">
        <v>0</v>
      </c>
      <c r="G3" s="4">
        <v>0</v>
      </c>
      <c r="H3" s="4">
        <v>0</v>
      </c>
      <c r="I3" s="4">
        <v>100</v>
      </c>
      <c r="J3" s="4">
        <v>100</v>
      </c>
      <c r="K3" s="4">
        <v>231</v>
      </c>
      <c r="L3" s="4">
        <v>25</v>
      </c>
      <c r="M3" s="4">
        <v>25</v>
      </c>
      <c r="N3" s="4">
        <v>10</v>
      </c>
      <c r="O3" s="4">
        <v>10</v>
      </c>
      <c r="P3" s="4">
        <v>15</v>
      </c>
      <c r="Q3" s="4">
        <v>10</v>
      </c>
      <c r="R3" s="4">
        <v>0</v>
      </c>
      <c r="S3" s="4">
        <v>0</v>
      </c>
      <c r="T3" s="4">
        <v>0</v>
      </c>
      <c r="U3" s="4" t="s">
        <v>34</v>
      </c>
      <c r="V3" s="4" t="s">
        <v>35</v>
      </c>
      <c r="W3" s="4" t="s">
        <v>36</v>
      </c>
      <c r="X3" s="4" t="s">
        <v>35</v>
      </c>
      <c r="Y3" s="4">
        <v>6</v>
      </c>
      <c r="Z3" s="4">
        <v>0</v>
      </c>
      <c r="AA3" s="4">
        <v>12</v>
      </c>
      <c r="AB3" s="4">
        <v>0</v>
      </c>
      <c r="AC3" s="4" t="s">
        <v>40</v>
      </c>
      <c r="AD3" s="4" t="s">
        <v>41</v>
      </c>
      <c r="AE3" s="4">
        <v>2.5</v>
      </c>
      <c r="AF3" s="4">
        <v>45</v>
      </c>
    </row>
    <row r="4" s="1" customFormat="1" ht="75" spans="1:32">
      <c r="A4" s="4" t="s">
        <v>42</v>
      </c>
      <c r="B4" s="1" t="str">
        <f>_xlfn.DISPIMG("ID_18F022E4704E4C5285FBA62032B606FB",1)</f>
        <v>=DISPIMG("ID_18F022E4704E4C5285FBA62032B606FB",1)</v>
      </c>
      <c r="C4" s="1" t="s">
        <v>33</v>
      </c>
      <c r="D4" s="4">
        <v>60</v>
      </c>
      <c r="E4" s="4">
        <v>0</v>
      </c>
      <c r="F4" s="4">
        <v>0</v>
      </c>
      <c r="G4" s="4">
        <v>0</v>
      </c>
      <c r="H4" s="4">
        <v>0</v>
      </c>
      <c r="I4" s="4">
        <v>100</v>
      </c>
      <c r="J4" s="4">
        <v>100</v>
      </c>
      <c r="K4" s="4">
        <v>220</v>
      </c>
      <c r="L4" s="4">
        <v>25</v>
      </c>
      <c r="M4" s="4">
        <v>25</v>
      </c>
      <c r="N4" s="4">
        <v>10</v>
      </c>
      <c r="O4" s="4">
        <v>10</v>
      </c>
      <c r="P4" s="4">
        <v>15</v>
      </c>
      <c r="Q4" s="4">
        <v>10</v>
      </c>
      <c r="R4" s="4">
        <v>0</v>
      </c>
      <c r="S4" s="4">
        <v>0</v>
      </c>
      <c r="T4" s="4">
        <v>0</v>
      </c>
      <c r="U4" s="4" t="s">
        <v>43</v>
      </c>
      <c r="V4" s="4" t="s">
        <v>35</v>
      </c>
      <c r="W4" s="4" t="s">
        <v>36</v>
      </c>
      <c r="X4" s="4" t="s">
        <v>35</v>
      </c>
      <c r="Y4" s="4">
        <v>7</v>
      </c>
      <c r="Z4" s="4">
        <v>0</v>
      </c>
      <c r="AA4" s="4">
        <v>18</v>
      </c>
      <c r="AB4" s="4">
        <v>0</v>
      </c>
      <c r="AC4" s="4" t="s">
        <v>37</v>
      </c>
      <c r="AD4" s="4" t="s">
        <v>38</v>
      </c>
      <c r="AE4" s="4">
        <v>2.5</v>
      </c>
      <c r="AF4" s="4">
        <v>55</v>
      </c>
    </row>
    <row r="5" s="1" customFormat="1" ht="75" spans="1:32">
      <c r="A5" s="4" t="s">
        <v>44</v>
      </c>
      <c r="B5" s="1" t="str">
        <f>_xlfn.DISPIMG("ID_E9197694319542EB8DF9B0724FCEBA0A",1)</f>
        <v>=DISPIMG("ID_E9197694319542EB8DF9B0724FCEBA0A",1)</v>
      </c>
      <c r="C5" s="1" t="s">
        <v>33</v>
      </c>
      <c r="D5" s="4">
        <v>90</v>
      </c>
      <c r="E5" s="4">
        <v>0</v>
      </c>
      <c r="F5" s="4">
        <v>0</v>
      </c>
      <c r="G5" s="4">
        <v>0</v>
      </c>
      <c r="H5" s="4">
        <v>0</v>
      </c>
      <c r="I5" s="4">
        <v>100</v>
      </c>
      <c r="J5" s="4">
        <v>100</v>
      </c>
      <c r="K5" s="4" t="s">
        <v>35</v>
      </c>
      <c r="L5" s="4">
        <v>30</v>
      </c>
      <c r="M5" s="4">
        <v>25</v>
      </c>
      <c r="N5" s="4">
        <v>10</v>
      </c>
      <c r="O5" s="4">
        <v>10</v>
      </c>
      <c r="P5" s="4">
        <v>15</v>
      </c>
      <c r="Q5" s="4">
        <v>15</v>
      </c>
      <c r="R5" s="4">
        <v>0</v>
      </c>
      <c r="S5" s="4">
        <v>0</v>
      </c>
      <c r="T5" s="4">
        <v>0</v>
      </c>
      <c r="U5" s="4" t="s">
        <v>43</v>
      </c>
      <c r="V5" s="4" t="s">
        <v>35</v>
      </c>
      <c r="W5" s="4" t="s">
        <v>35</v>
      </c>
      <c r="X5" s="4" t="s">
        <v>35</v>
      </c>
      <c r="Y5" s="4">
        <v>9</v>
      </c>
      <c r="Z5" s="4">
        <v>0</v>
      </c>
      <c r="AA5" s="4">
        <v>18</v>
      </c>
      <c r="AB5" s="4">
        <v>0</v>
      </c>
      <c r="AC5" s="4" t="s">
        <v>37</v>
      </c>
      <c r="AD5" s="4" t="s">
        <v>38</v>
      </c>
      <c r="AE5" s="4">
        <v>3</v>
      </c>
      <c r="AF5" s="4">
        <v>65</v>
      </c>
    </row>
    <row r="6" s="1" customFormat="1" ht="75" spans="1:32">
      <c r="A6" s="4" t="s">
        <v>45</v>
      </c>
      <c r="B6" s="1" t="str">
        <f>_xlfn.DISPIMG("ID_8ECA8AE926664DCA8173639788F04D9B",1)</f>
        <v>=DISPIMG("ID_8ECA8AE926664DCA8173639788F04D9B",1)</v>
      </c>
      <c r="C6" s="1" t="s">
        <v>33</v>
      </c>
      <c r="D6" s="4">
        <v>89</v>
      </c>
      <c r="E6" s="4">
        <v>0</v>
      </c>
      <c r="F6" s="4">
        <v>0</v>
      </c>
      <c r="G6" s="4">
        <v>0</v>
      </c>
      <c r="H6" s="4">
        <v>0</v>
      </c>
      <c r="I6" s="4">
        <v>100</v>
      </c>
      <c r="J6" s="4">
        <v>100</v>
      </c>
      <c r="K6" s="4">
        <v>256</v>
      </c>
      <c r="L6" s="4">
        <v>25</v>
      </c>
      <c r="M6" s="4">
        <v>25</v>
      </c>
      <c r="N6" s="4">
        <v>10</v>
      </c>
      <c r="O6" s="4">
        <v>10</v>
      </c>
      <c r="P6" s="4">
        <v>15</v>
      </c>
      <c r="Q6" s="4">
        <v>15</v>
      </c>
      <c r="R6" s="4">
        <v>0</v>
      </c>
      <c r="S6" s="4">
        <v>0</v>
      </c>
      <c r="T6" s="4">
        <v>0</v>
      </c>
      <c r="U6" s="4" t="s">
        <v>43</v>
      </c>
      <c r="V6" s="4" t="s">
        <v>35</v>
      </c>
      <c r="W6" s="4" t="s">
        <v>35</v>
      </c>
      <c r="X6" s="4" t="s">
        <v>46</v>
      </c>
      <c r="Y6" s="4">
        <v>8</v>
      </c>
      <c r="Z6" s="4">
        <v>0</v>
      </c>
      <c r="AA6" s="4">
        <v>12</v>
      </c>
      <c r="AB6" s="4">
        <v>12</v>
      </c>
      <c r="AC6" s="4" t="s">
        <v>37</v>
      </c>
      <c r="AD6" s="4" t="s">
        <v>38</v>
      </c>
      <c r="AE6" s="4">
        <v>2.5</v>
      </c>
      <c r="AF6" s="4">
        <v>55</v>
      </c>
    </row>
    <row r="7" s="1" customFormat="1" ht="75" spans="1:32">
      <c r="A7" s="4" t="s">
        <v>47</v>
      </c>
      <c r="B7" s="1" t="str">
        <f>_xlfn.DISPIMG("ID_6C88181262EF490BA251CEFA494947DF",1)</f>
        <v>=DISPIMG("ID_6C88181262EF490BA251CEFA494947DF",1)</v>
      </c>
      <c r="C7" s="1" t="s">
        <v>33</v>
      </c>
      <c r="D7" s="4">
        <v>84</v>
      </c>
      <c r="E7" s="4">
        <v>0</v>
      </c>
      <c r="F7" s="4">
        <v>0</v>
      </c>
      <c r="G7" s="4">
        <v>0</v>
      </c>
      <c r="H7" s="4">
        <v>0</v>
      </c>
      <c r="I7" s="4">
        <v>100</v>
      </c>
      <c r="J7" s="4">
        <v>112</v>
      </c>
      <c r="K7" s="4">
        <v>219</v>
      </c>
      <c r="L7" s="4">
        <v>25</v>
      </c>
      <c r="M7" s="4">
        <v>25</v>
      </c>
      <c r="N7" s="4">
        <v>10</v>
      </c>
      <c r="O7" s="4">
        <v>10</v>
      </c>
      <c r="P7" s="4">
        <v>15</v>
      </c>
      <c r="Q7" s="4">
        <v>10</v>
      </c>
      <c r="R7" s="4">
        <v>0</v>
      </c>
      <c r="S7" s="4">
        <v>0</v>
      </c>
      <c r="T7" s="4">
        <v>0</v>
      </c>
      <c r="U7" s="4" t="s">
        <v>34</v>
      </c>
      <c r="V7" s="4" t="s">
        <v>35</v>
      </c>
      <c r="W7" s="4" t="s">
        <v>36</v>
      </c>
      <c r="X7" s="4" t="s">
        <v>35</v>
      </c>
      <c r="Y7" s="4">
        <v>7</v>
      </c>
      <c r="Z7" s="4">
        <v>0</v>
      </c>
      <c r="AA7" s="4">
        <v>24</v>
      </c>
      <c r="AB7" s="4">
        <v>0</v>
      </c>
      <c r="AC7" s="4" t="s">
        <v>37</v>
      </c>
      <c r="AD7" s="4" t="s">
        <v>48</v>
      </c>
      <c r="AE7" s="4">
        <v>2.5</v>
      </c>
      <c r="AF7" s="4">
        <v>50</v>
      </c>
    </row>
    <row r="8" s="1" customFormat="1" ht="75" spans="1:32">
      <c r="A8" s="4" t="s">
        <v>49</v>
      </c>
      <c r="B8" s="1" t="str">
        <f>_xlfn.DISPIMG("ID_383879496F83438495769B1AC3894663",1)</f>
        <v>=DISPIMG("ID_383879496F83438495769B1AC3894663",1)</v>
      </c>
      <c r="C8" s="1" t="s">
        <v>33</v>
      </c>
      <c r="D8" s="4">
        <v>63</v>
      </c>
      <c r="E8" s="4">
        <v>0</v>
      </c>
      <c r="F8" s="4">
        <v>0</v>
      </c>
      <c r="G8" s="4">
        <v>0</v>
      </c>
      <c r="H8" s="4">
        <v>0</v>
      </c>
      <c r="I8" s="4">
        <v>100</v>
      </c>
      <c r="J8" s="4">
        <v>113</v>
      </c>
      <c r="K8" s="4">
        <v>234</v>
      </c>
      <c r="L8" s="4">
        <v>30</v>
      </c>
      <c r="M8" s="4">
        <v>25</v>
      </c>
      <c r="N8" s="4">
        <v>10</v>
      </c>
      <c r="O8" s="4">
        <v>10</v>
      </c>
      <c r="P8" s="4">
        <v>20</v>
      </c>
      <c r="Q8" s="4">
        <v>15</v>
      </c>
      <c r="R8" s="4">
        <v>0</v>
      </c>
      <c r="S8" s="4">
        <v>0</v>
      </c>
      <c r="T8" s="4">
        <v>0</v>
      </c>
      <c r="U8" s="4" t="s">
        <v>43</v>
      </c>
      <c r="V8" s="4" t="s">
        <v>35</v>
      </c>
      <c r="W8" s="4" t="s">
        <v>36</v>
      </c>
      <c r="X8" s="4" t="s">
        <v>35</v>
      </c>
      <c r="Y8" s="4">
        <v>8</v>
      </c>
      <c r="Z8" s="4">
        <v>0</v>
      </c>
      <c r="AA8" s="4">
        <v>16</v>
      </c>
      <c r="AB8" s="4">
        <v>0</v>
      </c>
      <c r="AC8" s="4" t="s">
        <v>37</v>
      </c>
      <c r="AD8" s="4" t="s">
        <v>38</v>
      </c>
      <c r="AE8" s="4">
        <v>3</v>
      </c>
      <c r="AF8" s="4">
        <v>55</v>
      </c>
    </row>
    <row r="9" s="1" customFormat="1" ht="75" spans="1:32">
      <c r="A9" s="4" t="s">
        <v>50</v>
      </c>
      <c r="B9" s="1" t="str">
        <f>_xlfn.DISPIMG("ID_AEBF90C5F2694CF698907D06D20D6C29",1)</f>
        <v>=DISPIMG("ID_AEBF90C5F2694CF698907D06D20D6C29",1)</v>
      </c>
      <c r="C9" s="1" t="s">
        <v>33</v>
      </c>
      <c r="D9" s="4">
        <v>60</v>
      </c>
      <c r="E9" s="4">
        <v>0</v>
      </c>
      <c r="F9" s="4">
        <v>0</v>
      </c>
      <c r="G9" s="4">
        <v>0</v>
      </c>
      <c r="H9" s="4">
        <v>0</v>
      </c>
      <c r="I9" s="4">
        <v>100</v>
      </c>
      <c r="J9" s="4">
        <v>105</v>
      </c>
      <c r="K9" s="4">
        <v>254</v>
      </c>
      <c r="L9" s="4">
        <v>25</v>
      </c>
      <c r="M9" s="4">
        <v>20</v>
      </c>
      <c r="N9" s="4">
        <v>10</v>
      </c>
      <c r="O9" s="4">
        <v>10</v>
      </c>
      <c r="P9" s="4">
        <v>15</v>
      </c>
      <c r="Q9" s="4">
        <v>10</v>
      </c>
      <c r="R9" s="4">
        <v>0</v>
      </c>
      <c r="S9" s="4">
        <v>0</v>
      </c>
      <c r="T9" s="4">
        <v>0</v>
      </c>
      <c r="U9" s="4" t="s">
        <v>34</v>
      </c>
      <c r="V9" s="4" t="s">
        <v>35</v>
      </c>
      <c r="W9" s="4" t="s">
        <v>46</v>
      </c>
      <c r="X9" s="4" t="s">
        <v>35</v>
      </c>
      <c r="Y9" s="4">
        <v>6</v>
      </c>
      <c r="Z9" s="4">
        <v>0</v>
      </c>
      <c r="AA9" s="4">
        <v>14</v>
      </c>
      <c r="AB9" s="4">
        <v>0</v>
      </c>
      <c r="AC9" s="4" t="s">
        <v>37</v>
      </c>
      <c r="AD9" s="4" t="s">
        <v>51</v>
      </c>
      <c r="AE9" s="4">
        <v>2</v>
      </c>
      <c r="AF9" s="4">
        <v>45</v>
      </c>
    </row>
    <row r="10" s="1" customFormat="1" ht="75" spans="1:32">
      <c r="A10" s="4" t="s">
        <v>52</v>
      </c>
      <c r="B10" s="1" t="str">
        <f>_xlfn.DISPIMG("ID_CC73FEAE07804A7A9880AB9CD6E05A41",1)</f>
        <v>=DISPIMG("ID_CC73FEAE07804A7A9880AB9CD6E05A41",1)</v>
      </c>
      <c r="C10" s="1" t="s">
        <v>33</v>
      </c>
      <c r="D10" s="4">
        <v>57</v>
      </c>
      <c r="E10" s="4">
        <v>0</v>
      </c>
      <c r="F10" s="4">
        <v>0</v>
      </c>
      <c r="G10" s="4">
        <v>0</v>
      </c>
      <c r="H10" s="4">
        <v>0</v>
      </c>
      <c r="I10" s="4">
        <v>100</v>
      </c>
      <c r="J10" s="4">
        <v>100</v>
      </c>
      <c r="K10" s="4">
        <v>193</v>
      </c>
      <c r="L10" s="4">
        <v>25</v>
      </c>
      <c r="M10" s="4">
        <v>20</v>
      </c>
      <c r="N10" s="4">
        <v>10</v>
      </c>
      <c r="O10" s="4">
        <v>10</v>
      </c>
      <c r="P10" s="4">
        <v>15</v>
      </c>
      <c r="Q10" s="4">
        <v>10</v>
      </c>
      <c r="R10" s="4">
        <v>0</v>
      </c>
      <c r="S10" s="4">
        <v>0</v>
      </c>
      <c r="T10" s="4">
        <v>0</v>
      </c>
      <c r="U10" s="4" t="s">
        <v>34</v>
      </c>
      <c r="V10" s="4" t="s">
        <v>35</v>
      </c>
      <c r="W10" s="4" t="s">
        <v>53</v>
      </c>
      <c r="X10" s="4" t="s">
        <v>35</v>
      </c>
      <c r="Y10" s="4">
        <v>7</v>
      </c>
      <c r="Z10" s="4">
        <v>0</v>
      </c>
      <c r="AA10" s="4">
        <v>18</v>
      </c>
      <c r="AB10" s="4">
        <v>0</v>
      </c>
      <c r="AC10" s="4" t="s">
        <v>37</v>
      </c>
      <c r="AD10" s="4" t="s">
        <v>38</v>
      </c>
      <c r="AE10" s="4">
        <v>2</v>
      </c>
      <c r="AF10" s="4">
        <v>40</v>
      </c>
    </row>
    <row r="11" s="1" customFormat="1" ht="75" spans="1:32">
      <c r="A11" s="4" t="s">
        <v>54</v>
      </c>
      <c r="B11" s="1" t="str">
        <f>_xlfn.DISPIMG("ID_6EE81CFEFF7049BBA034024532B5D466",1)</f>
        <v>=DISPIMG("ID_6EE81CFEFF7049BBA034024532B5D466",1)</v>
      </c>
      <c r="C11" s="1" t="s">
        <v>33</v>
      </c>
      <c r="D11" s="4">
        <v>120</v>
      </c>
      <c r="E11" s="4">
        <v>0</v>
      </c>
      <c r="F11" s="4">
        <v>0</v>
      </c>
      <c r="G11" s="4">
        <v>0</v>
      </c>
      <c r="H11" s="4">
        <v>0</v>
      </c>
      <c r="I11" s="4">
        <v>100</v>
      </c>
      <c r="J11" s="4">
        <v>100</v>
      </c>
      <c r="K11" s="4">
        <v>289</v>
      </c>
      <c r="L11" s="4">
        <v>30</v>
      </c>
      <c r="M11" s="4">
        <v>25</v>
      </c>
      <c r="N11" s="4">
        <v>20</v>
      </c>
      <c r="O11" s="4">
        <v>20</v>
      </c>
      <c r="P11" s="4">
        <v>20</v>
      </c>
      <c r="Q11" s="4">
        <v>15</v>
      </c>
      <c r="R11" s="4">
        <v>0</v>
      </c>
      <c r="S11" s="4">
        <v>0</v>
      </c>
      <c r="T11" s="4">
        <v>0</v>
      </c>
      <c r="U11" s="4" t="s">
        <v>43</v>
      </c>
      <c r="V11" s="4" t="s">
        <v>43</v>
      </c>
      <c r="W11" s="4" t="s">
        <v>36</v>
      </c>
      <c r="X11" s="4" t="s">
        <v>53</v>
      </c>
      <c r="Y11" s="4">
        <v>12</v>
      </c>
      <c r="Z11" s="4">
        <v>0</v>
      </c>
      <c r="AA11" s="4">
        <v>14</v>
      </c>
      <c r="AB11" s="4">
        <v>10</v>
      </c>
      <c r="AC11" s="4" t="s">
        <v>37</v>
      </c>
      <c r="AD11" s="4" t="s">
        <v>38</v>
      </c>
      <c r="AE11" s="4">
        <v>3</v>
      </c>
      <c r="AF11" s="4">
        <v>55</v>
      </c>
    </row>
    <row r="12" s="1" customFormat="1" ht="75" spans="1:32">
      <c r="A12" s="4" t="s">
        <v>55</v>
      </c>
      <c r="B12" s="1" t="str">
        <f>_xlfn.DISPIMG("ID_AB87F19139C9402AB82FA40185EF12E5",1)</f>
        <v>=DISPIMG("ID_AB87F19139C9402AB82FA40185EF12E5",1)</v>
      </c>
      <c r="C12" s="1" t="s">
        <v>33</v>
      </c>
      <c r="D12" s="4">
        <v>86</v>
      </c>
      <c r="E12" s="4">
        <v>0</v>
      </c>
      <c r="F12" s="4">
        <v>0</v>
      </c>
      <c r="G12" s="4">
        <v>0</v>
      </c>
      <c r="H12" s="4">
        <v>20</v>
      </c>
      <c r="I12" s="4">
        <v>100</v>
      </c>
      <c r="J12" s="4">
        <v>132</v>
      </c>
      <c r="K12" s="6"/>
      <c r="L12" s="4">
        <v>30</v>
      </c>
      <c r="M12" s="4">
        <v>20</v>
      </c>
      <c r="N12" s="4">
        <v>10</v>
      </c>
      <c r="O12" s="4">
        <v>10</v>
      </c>
      <c r="P12" s="4">
        <v>25</v>
      </c>
      <c r="Q12" s="4">
        <v>15</v>
      </c>
      <c r="R12" s="4">
        <v>0</v>
      </c>
      <c r="S12" s="4">
        <v>0</v>
      </c>
      <c r="T12" s="4">
        <v>0</v>
      </c>
      <c r="U12" s="4" t="s">
        <v>43</v>
      </c>
      <c r="V12" s="4" t="s">
        <v>43</v>
      </c>
      <c r="W12" s="4" t="s">
        <v>36</v>
      </c>
      <c r="X12" s="4" t="s">
        <v>34</v>
      </c>
      <c r="Y12" s="4">
        <v>6</v>
      </c>
      <c r="Z12" s="4">
        <v>0</v>
      </c>
      <c r="AA12" s="4">
        <v>12</v>
      </c>
      <c r="AB12" s="4">
        <v>0</v>
      </c>
      <c r="AC12" s="4" t="s">
        <v>56</v>
      </c>
      <c r="AD12" s="4" t="s">
        <v>38</v>
      </c>
      <c r="AE12" s="4">
        <v>3</v>
      </c>
      <c r="AF12" s="4">
        <v>55</v>
      </c>
    </row>
    <row r="13" s="1" customFormat="1" ht="75" spans="1:32">
      <c r="A13" s="4" t="s">
        <v>57</v>
      </c>
      <c r="B13" s="1" t="str">
        <f>_xlfn.DISPIMG("ID_CDDDECFDF503414EAC88743BBDD4DAD8",1)</f>
        <v>=DISPIMG("ID_CDDDECFDF503414EAC88743BBDD4DAD8",1)</v>
      </c>
      <c r="C13" s="1" t="s">
        <v>33</v>
      </c>
      <c r="D13" s="4">
        <v>109</v>
      </c>
      <c r="E13" s="4">
        <v>0</v>
      </c>
      <c r="F13" s="4">
        <v>0</v>
      </c>
      <c r="G13" s="4">
        <v>0</v>
      </c>
      <c r="H13" s="4">
        <v>0</v>
      </c>
      <c r="I13" s="4">
        <v>100</v>
      </c>
      <c r="J13" s="4">
        <v>100</v>
      </c>
      <c r="K13" s="4">
        <v>192</v>
      </c>
      <c r="L13" s="4">
        <v>25</v>
      </c>
      <c r="M13" s="4">
        <v>20</v>
      </c>
      <c r="N13" s="4">
        <v>10</v>
      </c>
      <c r="O13" s="4">
        <v>10</v>
      </c>
      <c r="P13" s="4">
        <v>15</v>
      </c>
      <c r="Q13" s="4">
        <v>10</v>
      </c>
      <c r="R13" s="4">
        <v>0</v>
      </c>
      <c r="S13" s="4">
        <v>0</v>
      </c>
      <c r="T13" s="4">
        <v>0</v>
      </c>
      <c r="U13" s="4" t="s">
        <v>34</v>
      </c>
      <c r="V13" s="4" t="s">
        <v>35</v>
      </c>
      <c r="W13" s="4" t="s">
        <v>46</v>
      </c>
      <c r="X13" s="4" t="s">
        <v>35</v>
      </c>
      <c r="Y13" s="4">
        <v>12</v>
      </c>
      <c r="Z13" s="4">
        <v>0</v>
      </c>
      <c r="AA13" s="4">
        <v>14</v>
      </c>
      <c r="AB13" s="4">
        <v>0</v>
      </c>
      <c r="AC13" s="4" t="s">
        <v>58</v>
      </c>
      <c r="AD13" s="4" t="s">
        <v>59</v>
      </c>
      <c r="AE13" s="4">
        <v>2</v>
      </c>
      <c r="AF13" s="4">
        <v>50</v>
      </c>
    </row>
    <row r="14" s="1" customFormat="1" ht="75" spans="1:32">
      <c r="A14" s="4" t="s">
        <v>60</v>
      </c>
      <c r="B14" s="1" t="str">
        <f>_xlfn.DISPIMG("ID_F71B2B7E036D4E4BBB8F528972B09E85",1)</f>
        <v>=DISPIMG("ID_F71B2B7E036D4E4BBB8F528972B09E85",1)</v>
      </c>
      <c r="C14" s="1" t="s">
        <v>60</v>
      </c>
      <c r="D14" s="4">
        <v>0</v>
      </c>
      <c r="E14" s="4">
        <v>0</v>
      </c>
      <c r="F14" s="4">
        <v>100</v>
      </c>
      <c r="G14" s="4">
        <v>0</v>
      </c>
      <c r="H14" s="4">
        <v>0</v>
      </c>
      <c r="I14" s="4">
        <v>100</v>
      </c>
      <c r="J14" s="4">
        <v>109</v>
      </c>
      <c r="K14" s="4" t="s">
        <v>35</v>
      </c>
      <c r="L14" s="4" t="s">
        <v>35</v>
      </c>
      <c r="M14" s="4" t="s">
        <v>35</v>
      </c>
      <c r="N14" s="4" t="s">
        <v>35</v>
      </c>
      <c r="O14" s="4" t="s">
        <v>35</v>
      </c>
      <c r="P14" s="4" t="s">
        <v>35</v>
      </c>
      <c r="Q14" s="4" t="s">
        <v>35</v>
      </c>
      <c r="R14" s="4">
        <v>0</v>
      </c>
      <c r="S14" s="4">
        <v>0</v>
      </c>
      <c r="T14" s="4">
        <v>0</v>
      </c>
      <c r="U14" s="4" t="s">
        <v>35</v>
      </c>
      <c r="V14" s="4" t="s">
        <v>35</v>
      </c>
      <c r="W14" s="4" t="s">
        <v>53</v>
      </c>
      <c r="X14" s="4" t="s">
        <v>53</v>
      </c>
      <c r="Y14" s="4">
        <v>0</v>
      </c>
      <c r="Z14" s="4">
        <v>0</v>
      </c>
      <c r="AA14" s="4">
        <v>0</v>
      </c>
      <c r="AB14" s="4">
        <v>0</v>
      </c>
      <c r="AC14" s="4" t="s">
        <v>61</v>
      </c>
      <c r="AD14" s="4" t="s">
        <v>62</v>
      </c>
      <c r="AE14" s="4">
        <v>0</v>
      </c>
      <c r="AF14" s="4">
        <v>50</v>
      </c>
    </row>
    <row r="15" s="1" customFormat="1" ht="75" spans="1:32">
      <c r="A15" s="4" t="s">
        <v>63</v>
      </c>
      <c r="B15" s="1" t="str">
        <f>_xlfn.DISPIMG("ID_2D97D5CDF15348368470D1ABBABE091B",1)</f>
        <v>=DISPIMG("ID_2D97D5CDF15348368470D1ABBABE091B",1)</v>
      </c>
      <c r="C15" s="1" t="s">
        <v>60</v>
      </c>
      <c r="D15" s="4">
        <v>0</v>
      </c>
      <c r="E15" s="4">
        <v>0</v>
      </c>
      <c r="F15" s="4">
        <v>110</v>
      </c>
      <c r="G15" s="4">
        <v>0</v>
      </c>
      <c r="H15" s="4">
        <v>0</v>
      </c>
      <c r="I15" s="4">
        <v>100</v>
      </c>
      <c r="J15" s="4">
        <v>117</v>
      </c>
      <c r="K15" s="4" t="s">
        <v>35</v>
      </c>
      <c r="L15" s="4" t="s">
        <v>35</v>
      </c>
      <c r="M15" s="4" t="s">
        <v>35</v>
      </c>
      <c r="N15" s="4" t="s">
        <v>35</v>
      </c>
      <c r="O15" s="4" t="s">
        <v>35</v>
      </c>
      <c r="P15" s="4" t="s">
        <v>35</v>
      </c>
      <c r="Q15" s="4" t="s">
        <v>35</v>
      </c>
      <c r="R15" s="4">
        <v>0</v>
      </c>
      <c r="S15" s="4">
        <v>0</v>
      </c>
      <c r="T15" s="4">
        <v>0</v>
      </c>
      <c r="U15" s="4" t="s">
        <v>35</v>
      </c>
      <c r="V15" s="4" t="s">
        <v>35</v>
      </c>
      <c r="W15" s="4" t="s">
        <v>43</v>
      </c>
      <c r="X15" s="4" t="s">
        <v>43</v>
      </c>
      <c r="Y15" s="4">
        <v>15</v>
      </c>
      <c r="Z15" s="4">
        <v>0</v>
      </c>
      <c r="AA15" s="4">
        <v>13</v>
      </c>
      <c r="AB15" s="4">
        <v>13</v>
      </c>
      <c r="AC15" s="4" t="s">
        <v>64</v>
      </c>
      <c r="AD15" s="4" t="s">
        <v>65</v>
      </c>
      <c r="AE15" s="4">
        <v>0</v>
      </c>
      <c r="AF15" s="4">
        <v>65</v>
      </c>
    </row>
    <row r="16" s="1" customFormat="1" ht="75" spans="1:32">
      <c r="A16" s="4" t="s">
        <v>66</v>
      </c>
      <c r="B16" s="1" t="str">
        <f>_xlfn.DISPIMG("ID_444BF9AD76AB47C9ABAD897FF6BCEF83",1)</f>
        <v>=DISPIMG("ID_444BF9AD76AB47C9ABAD897FF6BCEF83",1)</v>
      </c>
      <c r="C16" s="1" t="s">
        <v>66</v>
      </c>
      <c r="D16" s="4">
        <v>52</v>
      </c>
      <c r="E16" s="4">
        <v>0</v>
      </c>
      <c r="F16" s="4">
        <v>0</v>
      </c>
      <c r="G16" s="4">
        <v>0</v>
      </c>
      <c r="H16" s="4">
        <v>0</v>
      </c>
      <c r="I16" s="4">
        <v>100</v>
      </c>
      <c r="J16" s="4">
        <v>100</v>
      </c>
      <c r="K16" s="4">
        <v>240</v>
      </c>
      <c r="L16" s="4">
        <v>25</v>
      </c>
      <c r="M16" s="4">
        <v>15</v>
      </c>
      <c r="N16" s="4">
        <v>10</v>
      </c>
      <c r="O16" s="4">
        <v>15</v>
      </c>
      <c r="P16" s="4">
        <v>15</v>
      </c>
      <c r="Q16" s="4">
        <v>10</v>
      </c>
      <c r="R16" s="4">
        <v>0</v>
      </c>
      <c r="S16" s="4">
        <v>0</v>
      </c>
      <c r="T16" s="4">
        <v>0</v>
      </c>
      <c r="U16" s="4" t="s">
        <v>34</v>
      </c>
      <c r="V16" s="4" t="s">
        <v>35</v>
      </c>
      <c r="W16" s="4" t="s">
        <v>35</v>
      </c>
      <c r="X16" s="4" t="s">
        <v>36</v>
      </c>
      <c r="Y16" s="4">
        <v>4</v>
      </c>
      <c r="Z16" s="4">
        <v>0</v>
      </c>
      <c r="AA16" s="4">
        <v>0</v>
      </c>
      <c r="AB16" s="4">
        <v>10</v>
      </c>
      <c r="AC16" s="4" t="s">
        <v>67</v>
      </c>
      <c r="AD16" s="4" t="s">
        <v>68</v>
      </c>
      <c r="AE16" s="4">
        <v>0.5</v>
      </c>
      <c r="AF16" s="4">
        <v>50</v>
      </c>
    </row>
    <row r="17" s="1" customFormat="1" ht="75" spans="1:32">
      <c r="A17" s="4" t="s">
        <v>69</v>
      </c>
      <c r="B17" s="1" t="str">
        <f>_xlfn.DISPIMG("ID_D56E6036696645EFA63B92172D45BB86",1)</f>
        <v>=DISPIMG("ID_D56E6036696645EFA63B92172D45BB86",1)</v>
      </c>
      <c r="C17" s="1" t="s">
        <v>66</v>
      </c>
      <c r="D17" s="4">
        <v>53</v>
      </c>
      <c r="E17" s="4">
        <v>0</v>
      </c>
      <c r="F17" s="4">
        <v>0</v>
      </c>
      <c r="G17" s="4">
        <v>0</v>
      </c>
      <c r="H17" s="4">
        <v>0</v>
      </c>
      <c r="I17" s="4">
        <v>100</v>
      </c>
      <c r="J17" s="4">
        <v>100</v>
      </c>
      <c r="K17" s="4">
        <v>214</v>
      </c>
      <c r="L17" s="4">
        <v>25</v>
      </c>
      <c r="M17" s="4">
        <v>15</v>
      </c>
      <c r="N17" s="4">
        <v>10</v>
      </c>
      <c r="O17" s="4">
        <v>15</v>
      </c>
      <c r="P17" s="4">
        <v>15</v>
      </c>
      <c r="Q17" s="4">
        <v>10</v>
      </c>
      <c r="R17" s="4">
        <v>0</v>
      </c>
      <c r="S17" s="4">
        <v>0</v>
      </c>
      <c r="T17" s="4">
        <v>0</v>
      </c>
      <c r="U17" s="4" t="s">
        <v>43</v>
      </c>
      <c r="V17" s="4" t="s">
        <v>35</v>
      </c>
      <c r="W17" s="4" t="s">
        <v>35</v>
      </c>
      <c r="X17" s="4" t="s">
        <v>36</v>
      </c>
      <c r="Y17" s="4">
        <v>4</v>
      </c>
      <c r="Z17" s="4">
        <v>0</v>
      </c>
      <c r="AA17" s="4">
        <v>0</v>
      </c>
      <c r="AB17" s="4">
        <v>14</v>
      </c>
      <c r="AC17" s="4" t="s">
        <v>67</v>
      </c>
      <c r="AD17" s="4" t="s">
        <v>70</v>
      </c>
      <c r="AE17" s="4">
        <v>0.5</v>
      </c>
      <c r="AF17" s="4">
        <v>65</v>
      </c>
    </row>
    <row r="18" s="1" customFormat="1" ht="75" spans="1:32">
      <c r="A18" s="4" t="s">
        <v>71</v>
      </c>
      <c r="B18" s="1" t="str">
        <f>_xlfn.DISPIMG("ID_6D194CAFF6284A78ACEDB7050EE9B36C",1)</f>
        <v>=DISPIMG("ID_6D194CAFF6284A78ACEDB7050EE9B36C",1)</v>
      </c>
      <c r="C18" s="1" t="s">
        <v>66</v>
      </c>
      <c r="D18" s="4">
        <v>52</v>
      </c>
      <c r="E18" s="4">
        <v>0</v>
      </c>
      <c r="F18" s="4">
        <v>0</v>
      </c>
      <c r="G18" s="4">
        <v>0</v>
      </c>
      <c r="H18" s="4">
        <v>0</v>
      </c>
      <c r="I18" s="4">
        <v>100</v>
      </c>
      <c r="J18" s="4">
        <v>112</v>
      </c>
      <c r="K18" s="4">
        <v>234</v>
      </c>
      <c r="L18" s="4">
        <v>25</v>
      </c>
      <c r="M18" s="4">
        <v>15</v>
      </c>
      <c r="N18" s="4">
        <v>10</v>
      </c>
      <c r="O18" s="4">
        <v>15</v>
      </c>
      <c r="P18" s="4">
        <v>15</v>
      </c>
      <c r="Q18" s="4">
        <v>10</v>
      </c>
      <c r="R18" s="4">
        <v>0</v>
      </c>
      <c r="S18" s="4">
        <v>0</v>
      </c>
      <c r="T18" s="4">
        <v>0</v>
      </c>
      <c r="U18" s="4" t="s">
        <v>43</v>
      </c>
      <c r="V18" s="4" t="s">
        <v>35</v>
      </c>
      <c r="W18" s="4" t="s">
        <v>35</v>
      </c>
      <c r="X18" s="4" t="s">
        <v>36</v>
      </c>
      <c r="Y18" s="4">
        <v>4</v>
      </c>
      <c r="Z18" s="4">
        <v>0</v>
      </c>
      <c r="AA18" s="4">
        <v>0</v>
      </c>
      <c r="AB18" s="4">
        <v>14</v>
      </c>
      <c r="AC18" s="4" t="s">
        <v>67</v>
      </c>
      <c r="AD18" s="4" t="s">
        <v>68</v>
      </c>
      <c r="AE18" s="4">
        <v>0.5</v>
      </c>
      <c r="AF18" s="4">
        <v>55</v>
      </c>
    </row>
    <row r="19" s="1" customFormat="1" ht="75" spans="1:32">
      <c r="A19" s="4" t="s">
        <v>72</v>
      </c>
      <c r="B19" s="1" t="str">
        <f>_xlfn.DISPIMG("ID_5924F45385434D0E91D901B27779B5FE",1)</f>
        <v>=DISPIMG("ID_5924F45385434D0E91D901B27779B5FE",1)</v>
      </c>
      <c r="C19" s="1" t="s">
        <v>66</v>
      </c>
      <c r="D19" s="4">
        <v>74</v>
      </c>
      <c r="E19" s="4">
        <v>0</v>
      </c>
      <c r="F19" s="4">
        <v>0</v>
      </c>
      <c r="G19" s="4">
        <v>0</v>
      </c>
      <c r="H19" s="4">
        <v>0</v>
      </c>
      <c r="I19" s="4">
        <v>100</v>
      </c>
      <c r="J19" s="4">
        <v>112</v>
      </c>
      <c r="K19" s="4">
        <v>331</v>
      </c>
      <c r="L19" s="4">
        <v>25</v>
      </c>
      <c r="M19" s="4">
        <v>15</v>
      </c>
      <c r="N19" s="4">
        <v>10</v>
      </c>
      <c r="O19" s="4">
        <v>15</v>
      </c>
      <c r="P19" s="4">
        <v>15</v>
      </c>
      <c r="Q19" s="4">
        <v>10</v>
      </c>
      <c r="R19" s="4">
        <v>0</v>
      </c>
      <c r="S19" s="4">
        <v>0</v>
      </c>
      <c r="T19" s="4">
        <v>0</v>
      </c>
      <c r="U19" s="4" t="s">
        <v>34</v>
      </c>
      <c r="V19" s="4" t="s">
        <v>35</v>
      </c>
      <c r="W19" s="4" t="s">
        <v>53</v>
      </c>
      <c r="X19" s="4" t="s">
        <v>36</v>
      </c>
      <c r="Y19" s="4">
        <v>4</v>
      </c>
      <c r="Z19" s="4">
        <v>0</v>
      </c>
      <c r="AA19" s="4">
        <v>0</v>
      </c>
      <c r="AB19" s="4">
        <v>24</v>
      </c>
      <c r="AC19" s="4" t="s">
        <v>67</v>
      </c>
      <c r="AD19" s="4" t="s">
        <v>68</v>
      </c>
      <c r="AE19" s="4">
        <v>0.5</v>
      </c>
      <c r="AF19" s="4">
        <v>50</v>
      </c>
    </row>
    <row r="20" s="1" customFormat="1" ht="75" spans="1:32">
      <c r="A20" s="4" t="s">
        <v>73</v>
      </c>
      <c r="B20" s="1" t="str">
        <f>_xlfn.DISPIMG("ID_A342E2BE6BD0415C933B2101ACC2C6F0",1)</f>
        <v>=DISPIMG("ID_A342E2BE6BD0415C933B2101ACC2C6F0",1)</v>
      </c>
      <c r="C20" s="1" t="s">
        <v>66</v>
      </c>
      <c r="D20" s="4">
        <v>53</v>
      </c>
      <c r="E20" s="4">
        <v>0</v>
      </c>
      <c r="F20" s="4">
        <v>0</v>
      </c>
      <c r="G20" s="4">
        <v>0</v>
      </c>
      <c r="H20" s="4">
        <v>0</v>
      </c>
      <c r="I20" s="4">
        <v>100</v>
      </c>
      <c r="J20" s="4">
        <v>107</v>
      </c>
      <c r="K20" s="4">
        <v>258</v>
      </c>
      <c r="L20" s="4">
        <v>25</v>
      </c>
      <c r="M20" s="4">
        <v>15</v>
      </c>
      <c r="N20" s="4">
        <v>10</v>
      </c>
      <c r="O20" s="4">
        <v>15</v>
      </c>
      <c r="P20" s="4">
        <v>15</v>
      </c>
      <c r="Q20" s="4">
        <v>10</v>
      </c>
      <c r="R20" s="4">
        <v>0</v>
      </c>
      <c r="S20" s="4">
        <v>0</v>
      </c>
      <c r="T20" s="4">
        <v>0</v>
      </c>
      <c r="U20" s="4" t="s">
        <v>43</v>
      </c>
      <c r="V20" s="4" t="s">
        <v>35</v>
      </c>
      <c r="W20" s="4" t="s">
        <v>35</v>
      </c>
      <c r="X20" s="4" t="s">
        <v>46</v>
      </c>
      <c r="Y20" s="4">
        <v>4</v>
      </c>
      <c r="Z20" s="4">
        <v>0</v>
      </c>
      <c r="AA20" s="4">
        <v>0</v>
      </c>
      <c r="AB20" s="4">
        <v>16</v>
      </c>
      <c r="AC20" s="4" t="s">
        <v>67</v>
      </c>
      <c r="AD20" s="4" t="s">
        <v>68</v>
      </c>
      <c r="AE20" s="4">
        <v>0.5</v>
      </c>
      <c r="AF20" s="4">
        <v>65</v>
      </c>
    </row>
    <row r="21" s="1" customFormat="1" ht="75" spans="1:32">
      <c r="A21" s="4" t="s">
        <v>74</v>
      </c>
      <c r="B21" s="1" t="str">
        <f>_xlfn.DISPIMG("ID_4CDA79EC7DDB48C3AFD52F5EB3C7E591",1)</f>
        <v>=DISPIMG("ID_4CDA79EC7DDB48C3AFD52F5EB3C7E591",1)</v>
      </c>
      <c r="C21" s="1" t="s">
        <v>66</v>
      </c>
      <c r="D21" s="4">
        <v>73</v>
      </c>
      <c r="E21" s="4">
        <v>0</v>
      </c>
      <c r="F21" s="4">
        <v>79</v>
      </c>
      <c r="G21" s="4">
        <v>0</v>
      </c>
      <c r="H21" s="4">
        <v>0</v>
      </c>
      <c r="I21" s="4">
        <v>100</v>
      </c>
      <c r="J21" s="4">
        <v>102</v>
      </c>
      <c r="K21" s="4">
        <v>211</v>
      </c>
      <c r="L21" s="4">
        <v>25</v>
      </c>
      <c r="M21" s="4">
        <v>15</v>
      </c>
      <c r="N21" s="4">
        <v>15</v>
      </c>
      <c r="O21" s="4">
        <v>15</v>
      </c>
      <c r="P21" s="4">
        <v>15</v>
      </c>
      <c r="Q21" s="4">
        <v>10</v>
      </c>
      <c r="R21" s="4">
        <v>0</v>
      </c>
      <c r="S21" s="4">
        <v>0</v>
      </c>
      <c r="T21" s="4">
        <v>0</v>
      </c>
      <c r="U21" s="4" t="s">
        <v>34</v>
      </c>
      <c r="V21" s="4" t="s">
        <v>35</v>
      </c>
      <c r="W21" s="4" t="s">
        <v>43</v>
      </c>
      <c r="X21" s="4" t="s">
        <v>43</v>
      </c>
      <c r="Y21" s="4">
        <v>4</v>
      </c>
      <c r="Z21" s="4">
        <v>0</v>
      </c>
      <c r="AA21" s="4">
        <v>16</v>
      </c>
      <c r="AB21" s="4">
        <v>20</v>
      </c>
      <c r="AC21" s="4" t="s">
        <v>61</v>
      </c>
      <c r="AD21" s="4" t="s">
        <v>75</v>
      </c>
      <c r="AE21" s="4">
        <v>0.5</v>
      </c>
      <c r="AF21" s="4">
        <v>45</v>
      </c>
    </row>
    <row r="22" s="1" customFormat="1" ht="75" spans="1:32">
      <c r="A22" s="4" t="s">
        <v>76</v>
      </c>
      <c r="B22" s="1" t="str">
        <f>_xlfn.DISPIMG("ID_18097BC5326C4EBFB7BD6B6F67763EA2",1)</f>
        <v>=DISPIMG("ID_18097BC5326C4EBFB7BD6B6F67763EA2",1)</v>
      </c>
      <c r="C22" s="1" t="s">
        <v>77</v>
      </c>
      <c r="D22" s="4">
        <v>54</v>
      </c>
      <c r="E22" s="4">
        <v>0</v>
      </c>
      <c r="F22" s="4">
        <v>0</v>
      </c>
      <c r="G22" s="4">
        <v>0</v>
      </c>
      <c r="H22" s="4">
        <v>0</v>
      </c>
      <c r="I22" s="4">
        <v>100</v>
      </c>
      <c r="J22" s="4">
        <v>124</v>
      </c>
      <c r="K22" s="4">
        <v>263</v>
      </c>
      <c r="L22" s="4">
        <v>25</v>
      </c>
      <c r="M22" s="4">
        <v>15</v>
      </c>
      <c r="N22" s="4">
        <v>10</v>
      </c>
      <c r="O22" s="4">
        <v>20</v>
      </c>
      <c r="P22" s="4">
        <v>15</v>
      </c>
      <c r="Q22" s="4">
        <v>10</v>
      </c>
      <c r="R22" s="4">
        <v>0</v>
      </c>
      <c r="S22" s="4">
        <v>0</v>
      </c>
      <c r="T22" s="4">
        <v>0</v>
      </c>
      <c r="U22" s="4" t="s">
        <v>43</v>
      </c>
      <c r="V22" s="4" t="s">
        <v>35</v>
      </c>
      <c r="W22" s="4" t="s">
        <v>35</v>
      </c>
      <c r="X22" s="4" t="s">
        <v>46</v>
      </c>
      <c r="Y22" s="4">
        <v>3</v>
      </c>
      <c r="Z22" s="4">
        <v>0</v>
      </c>
      <c r="AA22" s="4">
        <v>0</v>
      </c>
      <c r="AB22" s="4">
        <v>30</v>
      </c>
      <c r="AC22" s="4" t="s">
        <v>78</v>
      </c>
      <c r="AD22" s="4" t="s">
        <v>79</v>
      </c>
      <c r="AE22" s="4">
        <v>0.5</v>
      </c>
      <c r="AF22" s="4">
        <v>60</v>
      </c>
    </row>
    <row r="23" s="1" customFormat="1" ht="75" spans="1:32">
      <c r="A23" s="4" t="s">
        <v>80</v>
      </c>
      <c r="B23" s="1" t="str">
        <f>_xlfn.DISPIMG("ID_B3C9AEFFE0B944EE819799C976276300",1)</f>
        <v>=DISPIMG("ID_B3C9AEFFE0B944EE819799C976276300",1)</v>
      </c>
      <c r="C23" s="1" t="s">
        <v>77</v>
      </c>
      <c r="D23" s="4">
        <v>52</v>
      </c>
      <c r="E23" s="4">
        <v>0</v>
      </c>
      <c r="F23" s="4">
        <v>0</v>
      </c>
      <c r="G23" s="4">
        <v>0</v>
      </c>
      <c r="H23" s="4">
        <v>0</v>
      </c>
      <c r="I23" s="4">
        <v>100</v>
      </c>
      <c r="J23" s="4">
        <v>100</v>
      </c>
      <c r="K23" s="4">
        <v>247</v>
      </c>
      <c r="L23" s="4">
        <v>25</v>
      </c>
      <c r="M23" s="4">
        <v>15</v>
      </c>
      <c r="N23" s="4">
        <v>10</v>
      </c>
      <c r="O23" s="4">
        <v>15</v>
      </c>
      <c r="P23" s="4">
        <v>15</v>
      </c>
      <c r="Q23" s="4">
        <v>10</v>
      </c>
      <c r="R23" s="4">
        <v>0</v>
      </c>
      <c r="S23" s="4">
        <v>0</v>
      </c>
      <c r="T23" s="4">
        <v>0</v>
      </c>
      <c r="U23" s="4" t="s">
        <v>43</v>
      </c>
      <c r="V23" s="4" t="s">
        <v>35</v>
      </c>
      <c r="W23" s="4" t="s">
        <v>35</v>
      </c>
      <c r="X23" s="4" t="s">
        <v>46</v>
      </c>
      <c r="Y23" s="4">
        <v>3</v>
      </c>
      <c r="Z23" s="4">
        <v>0</v>
      </c>
      <c r="AA23" s="4">
        <v>0</v>
      </c>
      <c r="AB23" s="4">
        <v>14</v>
      </c>
      <c r="AC23" s="4" t="s">
        <v>78</v>
      </c>
      <c r="AD23" s="4" t="s">
        <v>79</v>
      </c>
      <c r="AE23" s="4">
        <v>0.5</v>
      </c>
      <c r="AF23" s="4">
        <v>50</v>
      </c>
    </row>
    <row r="24" s="1" customFormat="1" ht="75" spans="1:32">
      <c r="A24" s="4" t="s">
        <v>81</v>
      </c>
      <c r="B24" s="1" t="str">
        <f>_xlfn.DISPIMG("ID_CED61AA318754D03BE75F4994763A3EE",1)</f>
        <v>=DISPIMG("ID_CED61AA318754D03BE75F4994763A3EE",1)</v>
      </c>
      <c r="C24" s="1" t="s">
        <v>77</v>
      </c>
      <c r="D24" s="4">
        <v>52</v>
      </c>
      <c r="E24" s="4">
        <v>0</v>
      </c>
      <c r="F24" s="4">
        <v>0</v>
      </c>
      <c r="G24" s="4">
        <v>0</v>
      </c>
      <c r="H24" s="4">
        <v>0</v>
      </c>
      <c r="I24" s="4">
        <v>100</v>
      </c>
      <c r="J24" s="4">
        <v>108</v>
      </c>
      <c r="K24" s="4">
        <v>238</v>
      </c>
      <c r="L24" s="4">
        <v>25</v>
      </c>
      <c r="M24" s="4">
        <v>15</v>
      </c>
      <c r="N24" s="4">
        <v>10</v>
      </c>
      <c r="O24" s="4">
        <v>15</v>
      </c>
      <c r="P24" s="4">
        <v>15</v>
      </c>
      <c r="Q24" s="4">
        <v>10</v>
      </c>
      <c r="R24" s="4">
        <v>0</v>
      </c>
      <c r="S24" s="4">
        <v>0</v>
      </c>
      <c r="T24" s="4">
        <v>0</v>
      </c>
      <c r="U24" s="4" t="s">
        <v>34</v>
      </c>
      <c r="V24" s="4" t="s">
        <v>35</v>
      </c>
      <c r="W24" s="4" t="s">
        <v>35</v>
      </c>
      <c r="X24" s="4" t="s">
        <v>36</v>
      </c>
      <c r="Y24" s="4">
        <v>3</v>
      </c>
      <c r="Z24" s="4">
        <v>0</v>
      </c>
      <c r="AA24" s="4">
        <v>0</v>
      </c>
      <c r="AB24" s="4">
        <v>10</v>
      </c>
      <c r="AC24" s="4" t="s">
        <v>78</v>
      </c>
      <c r="AD24" s="4" t="s">
        <v>79</v>
      </c>
      <c r="AE24" s="4">
        <v>0.5</v>
      </c>
      <c r="AF24" s="4">
        <v>45</v>
      </c>
    </row>
    <row r="25" s="1" customFormat="1" ht="75" spans="1:32">
      <c r="A25" s="4" t="s">
        <v>82</v>
      </c>
      <c r="B25" s="1" t="str">
        <f>_xlfn.DISPIMG("ID_E82AFD7C147E49AD97EA1E914AADBB28",1)</f>
        <v>=DISPIMG("ID_E82AFD7C147E49AD97EA1E914AADBB28",1)</v>
      </c>
      <c r="C25" s="1" t="s">
        <v>77</v>
      </c>
      <c r="D25" s="4">
        <v>52</v>
      </c>
      <c r="E25" s="4">
        <v>0</v>
      </c>
      <c r="F25" s="4">
        <v>0</v>
      </c>
      <c r="G25" s="4">
        <v>0</v>
      </c>
      <c r="H25" s="4">
        <v>0</v>
      </c>
      <c r="I25" s="4">
        <v>100</v>
      </c>
      <c r="J25" s="4">
        <v>100</v>
      </c>
      <c r="K25" s="4">
        <v>209</v>
      </c>
      <c r="L25" s="4">
        <v>25</v>
      </c>
      <c r="M25" s="4">
        <v>15</v>
      </c>
      <c r="N25" s="4">
        <v>10</v>
      </c>
      <c r="O25" s="4">
        <v>15</v>
      </c>
      <c r="P25" s="4">
        <v>15</v>
      </c>
      <c r="Q25" s="4">
        <v>10</v>
      </c>
      <c r="R25" s="4">
        <v>0</v>
      </c>
      <c r="S25" s="4">
        <v>0</v>
      </c>
      <c r="T25" s="4">
        <v>0</v>
      </c>
      <c r="U25" s="4" t="s">
        <v>34</v>
      </c>
      <c r="V25" s="4" t="s">
        <v>35</v>
      </c>
      <c r="W25" s="4" t="s">
        <v>35</v>
      </c>
      <c r="X25" s="4" t="s">
        <v>53</v>
      </c>
      <c r="Y25" s="4">
        <v>3</v>
      </c>
      <c r="Z25" s="4">
        <v>0</v>
      </c>
      <c r="AA25" s="4">
        <v>0</v>
      </c>
      <c r="AB25" s="4">
        <v>18</v>
      </c>
      <c r="AC25" s="4" t="s">
        <v>78</v>
      </c>
      <c r="AD25" s="4" t="s">
        <v>79</v>
      </c>
      <c r="AE25" s="4">
        <v>0.5</v>
      </c>
      <c r="AF25" s="4">
        <v>45</v>
      </c>
    </row>
    <row r="26" s="1" customFormat="1" ht="75" spans="1:32">
      <c r="A26" s="4" t="s">
        <v>83</v>
      </c>
      <c r="B26" s="1" t="str">
        <f>_xlfn.DISPIMG("ID_C5A55449C1C842A0B66FB7EC260F9EF4",1)</f>
        <v>=DISPIMG("ID_C5A55449C1C842A0B66FB7EC260F9EF4",1)</v>
      </c>
      <c r="C26" s="1" t="s">
        <v>77</v>
      </c>
      <c r="D26" s="4">
        <v>74</v>
      </c>
      <c r="E26" s="4">
        <v>0</v>
      </c>
      <c r="F26" s="4">
        <v>0</v>
      </c>
      <c r="G26" s="4">
        <v>0</v>
      </c>
      <c r="H26" s="4">
        <v>0</v>
      </c>
      <c r="I26" s="4">
        <v>100</v>
      </c>
      <c r="J26" s="4">
        <v>100</v>
      </c>
      <c r="K26" s="4">
        <v>336</v>
      </c>
      <c r="L26" s="4">
        <v>25</v>
      </c>
      <c r="M26" s="4">
        <v>15</v>
      </c>
      <c r="N26" s="4">
        <v>10</v>
      </c>
      <c r="O26" s="4">
        <v>15</v>
      </c>
      <c r="P26" s="4">
        <v>20</v>
      </c>
      <c r="Q26" s="4">
        <v>10</v>
      </c>
      <c r="R26" s="4">
        <v>0</v>
      </c>
      <c r="S26" s="4">
        <v>0</v>
      </c>
      <c r="T26" s="4">
        <v>0</v>
      </c>
      <c r="U26" s="4" t="s">
        <v>34</v>
      </c>
      <c r="V26" s="4" t="s">
        <v>35</v>
      </c>
      <c r="W26" s="4" t="s">
        <v>53</v>
      </c>
      <c r="X26" s="4" t="s">
        <v>36</v>
      </c>
      <c r="Y26" s="4">
        <v>3</v>
      </c>
      <c r="Z26" s="4">
        <v>0</v>
      </c>
      <c r="AA26" s="4">
        <v>12</v>
      </c>
      <c r="AB26" s="4">
        <v>12</v>
      </c>
      <c r="AC26" s="4" t="s">
        <v>78</v>
      </c>
      <c r="AD26" s="4" t="s">
        <v>79</v>
      </c>
      <c r="AE26" s="4">
        <v>0.5</v>
      </c>
      <c r="AF26" s="4">
        <v>45</v>
      </c>
    </row>
    <row r="27" s="1" customFormat="1" ht="75" spans="1:32">
      <c r="A27" s="4" t="s">
        <v>84</v>
      </c>
      <c r="B27" s="1" t="str">
        <f>_xlfn.DISPIMG("ID_AC5B745FECF14767BBA5AAB07236D01F",1)</f>
        <v>=DISPIMG("ID_AC5B745FECF14767BBA5AAB07236D01F",1)</v>
      </c>
      <c r="C27" s="1" t="s">
        <v>77</v>
      </c>
      <c r="D27" s="4">
        <v>73</v>
      </c>
      <c r="E27" s="4">
        <v>0</v>
      </c>
      <c r="F27" s="4">
        <v>0</v>
      </c>
      <c r="G27" s="4">
        <v>0</v>
      </c>
      <c r="H27" s="4">
        <v>0</v>
      </c>
      <c r="I27" s="4">
        <v>100</v>
      </c>
      <c r="J27" s="4">
        <v>134</v>
      </c>
      <c r="K27" s="4">
        <v>237</v>
      </c>
      <c r="L27" s="4">
        <v>25</v>
      </c>
      <c r="M27" s="4">
        <v>20</v>
      </c>
      <c r="N27" s="4">
        <v>10</v>
      </c>
      <c r="O27" s="4">
        <v>15</v>
      </c>
      <c r="P27" s="4">
        <v>15</v>
      </c>
      <c r="Q27" s="4">
        <v>10</v>
      </c>
      <c r="R27" s="4">
        <v>0</v>
      </c>
      <c r="S27" s="4">
        <v>0</v>
      </c>
      <c r="T27" s="4">
        <v>0</v>
      </c>
      <c r="U27" s="4" t="s">
        <v>34</v>
      </c>
      <c r="V27" s="4" t="s">
        <v>35</v>
      </c>
      <c r="W27" s="4" t="s">
        <v>43</v>
      </c>
      <c r="X27" s="4" t="s">
        <v>43</v>
      </c>
      <c r="Y27" s="4">
        <v>3</v>
      </c>
      <c r="Z27" s="4">
        <v>0</v>
      </c>
      <c r="AA27" s="4">
        <v>18</v>
      </c>
      <c r="AB27" s="4">
        <v>18</v>
      </c>
      <c r="AC27" s="4" t="s">
        <v>78</v>
      </c>
      <c r="AD27" s="4" t="s">
        <v>79</v>
      </c>
      <c r="AE27" s="4">
        <v>0.5</v>
      </c>
      <c r="AF27" s="4">
        <v>40</v>
      </c>
    </row>
    <row r="28" s="1" customFormat="1" ht="75" spans="1:32">
      <c r="A28" s="4" t="s">
        <v>85</v>
      </c>
      <c r="B28" s="1" t="str">
        <f>_xlfn.DISPIMG("ID_B2E7811C333642808F70EDDA8B0C40C5",1)</f>
        <v>=DISPIMG("ID_B2E7811C333642808F70EDDA8B0C40C5",1)</v>
      </c>
      <c r="C28" s="1" t="s">
        <v>77</v>
      </c>
      <c r="D28" s="4">
        <v>74</v>
      </c>
      <c r="E28" s="4">
        <v>0</v>
      </c>
      <c r="F28" s="4">
        <v>0</v>
      </c>
      <c r="G28" s="4">
        <v>0</v>
      </c>
      <c r="H28" s="4">
        <v>0</v>
      </c>
      <c r="I28" s="4">
        <v>100</v>
      </c>
      <c r="J28" s="4">
        <v>123</v>
      </c>
      <c r="K28" s="6"/>
      <c r="L28" s="4">
        <v>25</v>
      </c>
      <c r="M28" s="4">
        <v>15</v>
      </c>
      <c r="N28" s="4">
        <v>10</v>
      </c>
      <c r="O28" s="4">
        <v>10</v>
      </c>
      <c r="P28" s="4">
        <v>15</v>
      </c>
      <c r="Q28" s="4">
        <v>10</v>
      </c>
      <c r="R28" s="4">
        <v>0</v>
      </c>
      <c r="S28" s="4">
        <v>0</v>
      </c>
      <c r="T28" s="4">
        <v>0</v>
      </c>
      <c r="U28" s="4" t="s">
        <v>34</v>
      </c>
      <c r="V28" s="4" t="s">
        <v>35</v>
      </c>
      <c r="W28" s="4" t="s">
        <v>35</v>
      </c>
      <c r="X28" s="4" t="s">
        <v>53</v>
      </c>
      <c r="Y28" s="4">
        <v>4</v>
      </c>
      <c r="Z28" s="4">
        <v>0</v>
      </c>
      <c r="AA28" s="4">
        <v>0</v>
      </c>
      <c r="AB28" s="4">
        <v>18</v>
      </c>
      <c r="AC28" s="4" t="s">
        <v>86</v>
      </c>
      <c r="AD28" s="4" t="s">
        <v>87</v>
      </c>
      <c r="AE28" s="4">
        <v>0.5</v>
      </c>
      <c r="AF28" s="4">
        <v>50</v>
      </c>
    </row>
  </sheetData>
  <hyperlinks>
    <hyperlink ref="A2" r:id="rId1" display="魔法师杖" tooltip="/dark_souls_3/baike3157?wid=758"/>
    <hyperlink ref="AC2" r:id="rId2" display="增幅咏唱" tooltip="/dark_souls_3/item12173?wid=758"/>
    <hyperlink ref="A3" r:id="rId3" display="说书人杖" tooltip="/dark_souls_3/baike3158?wid=758"/>
    <hyperlink ref="AC3" r:id="rId4" display="毒孢子" tooltip="/dark_souls_3/item12191?wid=758"/>
    <hyperlink ref="A4" r:id="rId5" display="托钵杖" tooltip="/dark_souls_3/baike3159?wid=758"/>
    <hyperlink ref="AC4" r:id="rId2" display="增幅咏唱" tooltip="/dark_souls_3/item12173?wid=758"/>
    <hyperlink ref="A5" r:id="rId6" display="蛆人杖" tooltip="/dark_souls_3/baike3160?wid=758"/>
    <hyperlink ref="AC5" r:id="rId2" display="增幅咏唱" tooltip="/dark_souls_3/item12173?wid=758"/>
    <hyperlink ref="A6" r:id="rId7" display="大主教的大杖" tooltip="/dark_souls_3/baike3161?wid=758"/>
    <hyperlink ref="AC6" r:id="rId2" display="增幅咏唱" tooltip="/dark_souls_3/item12173?wid=758"/>
    <hyperlink ref="A7" r:id="rId8" display="老者结晶杖" tooltip="/dark_souls_3/baike3164?wid=758"/>
    <hyperlink ref="AC7" r:id="rId2" display="增幅咏唱" tooltip="/dark_souls_3/item12173?wid=758"/>
    <hyperlink ref="A8" r:id="rId9" display="异端杖" tooltip="/dark_souls_3/baike3165?wid=758"/>
    <hyperlink ref="AC8" r:id="rId2" display="增幅咏唱" tooltip="/dark_souls_3/item12173?wid=758"/>
    <hyperlink ref="A9" r:id="rId10" display="宫廷魔法师杖" tooltip="/dark_souls_3/baike3166?wid=758"/>
    <hyperlink ref="AC9" r:id="rId2" display="增幅咏唱" tooltip="/dark_souls_3/item12173?wid=758"/>
    <hyperlink ref="A10" r:id="rId11" display="妖树枝条" tooltip="/dark_souls_3/baike3167?wid=758"/>
    <hyperlink ref="AC10" r:id="rId2" display="增幅咏唱" tooltip="/dark_souls_3/item12173?wid=758"/>
    <hyperlink ref="A11" r:id="rId12" display="伊札里斯杖" tooltip="/dark_souls_3/baike3168?wid=758"/>
    <hyperlink ref="AC11" r:id="rId2" display="增幅咏唱" tooltip="/dark_souls_3/item12173?wid=758"/>
    <hyperlink ref="A12" r:id="rId13" display="濡湿长柄杖" tooltip="/dark_souls_3/baike3276?wid=758"/>
    <hyperlink ref="AC12" r:id="rId14" display="源自幽邃的咏唱" tooltip="/dark_souls_3/item12229?wid=758"/>
    <hyperlink ref="A13" r:id="rId15" display="说客右臂" tooltip="/dark_souls_3/baike3278?wid=758"/>
    <hyperlink ref="AC13" r:id="rId16" display="食粮树枝" tooltip="/dark_souls_3/item12231?wid=758"/>
    <hyperlink ref="A14" r:id="rId17" display="咒术之火" tooltip="/dark_souls_3/baike3179?wid=759"/>
    <hyperlink ref="AC14" r:id="rId18" display="引燃火焰" tooltip="/dark_souls_3/item12193?wid=759"/>
    <hyperlink ref="A15" r:id="rId19" display="咒术送灵火" tooltip="/dark_souls_3/baike3258?wid=759"/>
    <hyperlink ref="AC15" r:id="rId20" display="送灵火" tooltip="/dark_souls_3/item12217?wid=759"/>
    <hyperlink ref="A16" r:id="rId21" display="护符" tooltip="/dark_souls_3/baike3156?wid=760"/>
    <hyperlink ref="AC16" r:id="rId22" display="坚定祈祷" tooltip="/dark_souls_3/item12190?wid=760"/>
    <hyperlink ref="A17" r:id="rId23" display="太阳护符" tooltip="/dark_souls_3/baike3174?wid=760"/>
    <hyperlink ref="AC17" r:id="rId22" display="坚定祈祷" tooltip="/dark_souls_3/item12190?wid=760"/>
    <hyperlink ref="A18" r:id="rId24" display="粗布护符" tooltip="/dark_souls_3/baike3175?wid=760"/>
    <hyperlink ref="AC18" r:id="rId22" display="坚定祈祷" tooltip="/dark_souls_3/item12190?wid=760"/>
    <hyperlink ref="A19" r:id="rId25" display="薄暮护符" tooltip="/dark_souls_3/baike3176?wid=760"/>
    <hyperlink ref="AC19" r:id="rId22" display="坚定祈祷" tooltip="/dark_souls_3/item12190?wid=760"/>
    <hyperlink ref="A20" r:id="rId26" display="圣女护符" tooltip="/dark_souls_3/baike3177?wid=760"/>
    <hyperlink ref="AC20" r:id="rId22" display="坚定祈祷" tooltip="/dark_souls_3/item12190?wid=760"/>
    <hyperlink ref="A21" r:id="rId27" display="白发护符" tooltip="/dark_souls_3/baike3178?wid=760"/>
    <hyperlink ref="AC21" r:id="rId28" display="引燃火焰" tooltip="/dark_souls_3/item12193?wid=760"/>
    <hyperlink ref="A22" r:id="rId29" display="幽儿希卡圣铃" tooltip="/dark_souls_3/baike3163?wid=761"/>
    <hyperlink ref="AC22" r:id="rId30" display="祈求恩惠" tooltip="/dark_souls_3/item12192?wid=761"/>
    <hyperlink ref="A23" r:id="rId31" display="圣职圣铃" tooltip="/dark_souls_3/baike3169?wid=761"/>
    <hyperlink ref="AC23" r:id="rId30" display="祈求恩惠" tooltip="/dark_souls_3/item12192?wid=761"/>
    <hyperlink ref="A24" r:id="rId32" display="祭司圣铃" tooltip="/dark_souls_3/baike3170?wid=761"/>
    <hyperlink ref="AC24" r:id="rId30" display="祈求恩惠" tooltip="/dark_souls_3/item12192?wid=761"/>
    <hyperlink ref="A25" r:id="rId33" display="神木铃草" tooltip="/dark_souls_3/baike3171?wid=761"/>
    <hyperlink ref="AC25" r:id="rId30" display="祈求恩惠" tooltip="/dark_souls_3/item12192?wid=761"/>
    <hyperlink ref="A26" r:id="rId34" display="夸特铃铛" tooltip="/dark_souls_3/baike3172?wid=761"/>
    <hyperlink ref="AC26" r:id="rId30" display="祈求恩惠" tooltip="/dark_souls_3/item12192?wid=761"/>
    <hyperlink ref="A27" r:id="rId35" display="结晶圣铃" tooltip="/dark_souls_3/baike3173?wid=761"/>
    <hyperlink ref="AC27" r:id="rId30" display="祈求恩惠" tooltip="/dark_souls_3/item12192?wid=761"/>
    <hyperlink ref="A28" r:id="rId36" display="费莲诺尔圣铃" tooltip="/dark_souls_3/baike3277?wid=761"/>
    <hyperlink ref="AC28" r:id="rId37" display="祈求恩泽" tooltip="/dark_souls_3/item12230?wid=761"/>
  </hyperlink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0"/>
  <sheetViews>
    <sheetView workbookViewId="0">
      <selection activeCell="L30" sqref="L30"/>
    </sheetView>
  </sheetViews>
  <sheetFormatPr defaultColWidth="9" defaultRowHeight="13.5"/>
  <cols>
    <col min="1" max="4" width="9" style="1"/>
    <col min="5" max="26" width="12.5" style="1"/>
    <col min="27" max="16384" width="9" style="1"/>
  </cols>
  <sheetData>
    <row r="1" s="1" customFormat="1" ht="24" spans="1:13">
      <c r="A1" s="2" t="s">
        <v>0</v>
      </c>
      <c r="B1" s="2" t="s">
        <v>2</v>
      </c>
      <c r="C1" s="2" t="s">
        <v>3</v>
      </c>
      <c r="D1" s="2" t="s">
        <v>4</v>
      </c>
      <c r="E1" s="2" t="s">
        <v>5</v>
      </c>
      <c r="F1" s="2" t="s">
        <v>6</v>
      </c>
      <c r="G1" s="2" t="s">
        <v>7</v>
      </c>
      <c r="H1" s="2" t="s">
        <v>8</v>
      </c>
      <c r="I1" s="2" t="s">
        <v>88</v>
      </c>
      <c r="J1" s="2" t="s">
        <v>17</v>
      </c>
      <c r="K1" s="2" t="s">
        <v>18</v>
      </c>
      <c r="L1" s="2" t="s">
        <v>19</v>
      </c>
      <c r="M1" s="2" t="s">
        <v>89</v>
      </c>
    </row>
    <row r="2" s="1" customFormat="1" spans="1:13">
      <c r="A2" s="4" t="s">
        <v>90</v>
      </c>
      <c r="B2" s="4" t="s">
        <v>91</v>
      </c>
      <c r="C2" s="4">
        <v>45</v>
      </c>
      <c r="D2" s="4">
        <v>0</v>
      </c>
      <c r="E2" s="4">
        <v>0</v>
      </c>
      <c r="F2" s="4">
        <v>0</v>
      </c>
      <c r="G2" s="4">
        <v>0</v>
      </c>
      <c r="H2" s="4">
        <v>100</v>
      </c>
      <c r="I2" s="4" t="s">
        <v>35</v>
      </c>
      <c r="J2" s="4">
        <v>0</v>
      </c>
      <c r="K2" s="4">
        <v>0</v>
      </c>
      <c r="L2" s="4">
        <v>0</v>
      </c>
      <c r="M2" s="4">
        <v>99</v>
      </c>
    </row>
    <row r="3" s="1" customFormat="1" spans="1:13">
      <c r="A3" s="4" t="s">
        <v>92</v>
      </c>
      <c r="B3" s="4" t="s">
        <v>91</v>
      </c>
      <c r="C3" s="4">
        <v>25</v>
      </c>
      <c r="D3" s="4">
        <v>0</v>
      </c>
      <c r="E3" s="4">
        <v>40</v>
      </c>
      <c r="F3" s="4">
        <v>0</v>
      </c>
      <c r="G3" s="4">
        <v>0</v>
      </c>
      <c r="H3" s="4">
        <v>100</v>
      </c>
      <c r="I3" s="4" t="s">
        <v>35</v>
      </c>
      <c r="J3" s="4">
        <v>0</v>
      </c>
      <c r="K3" s="4">
        <v>0</v>
      </c>
      <c r="L3" s="4">
        <v>0</v>
      </c>
      <c r="M3" s="4">
        <v>99</v>
      </c>
    </row>
    <row r="4" s="1" customFormat="1" spans="1:13">
      <c r="A4" s="4" t="s">
        <v>93</v>
      </c>
      <c r="B4" s="4" t="s">
        <v>91</v>
      </c>
      <c r="C4" s="4">
        <v>10</v>
      </c>
      <c r="D4" s="4">
        <v>0</v>
      </c>
      <c r="E4" s="4">
        <v>0</v>
      </c>
      <c r="F4" s="4">
        <v>0</v>
      </c>
      <c r="G4" s="4">
        <v>0</v>
      </c>
      <c r="H4" s="4">
        <v>100</v>
      </c>
      <c r="I4" s="4" t="s">
        <v>35</v>
      </c>
      <c r="J4" s="4">
        <v>0</v>
      </c>
      <c r="K4" s="4">
        <v>30</v>
      </c>
      <c r="L4" s="4">
        <v>0</v>
      </c>
      <c r="M4" s="4">
        <v>99</v>
      </c>
    </row>
    <row r="5" s="1" customFormat="1" spans="1:13">
      <c r="A5" s="4" t="s">
        <v>94</v>
      </c>
      <c r="B5" s="4" t="s">
        <v>91</v>
      </c>
      <c r="C5" s="4">
        <v>55</v>
      </c>
      <c r="D5" s="4">
        <v>0</v>
      </c>
      <c r="E5" s="4">
        <v>0</v>
      </c>
      <c r="F5" s="4">
        <v>0</v>
      </c>
      <c r="G5" s="4">
        <v>0</v>
      </c>
      <c r="H5" s="4">
        <v>100</v>
      </c>
      <c r="I5" s="4" t="s">
        <v>95</v>
      </c>
      <c r="J5" s="4">
        <v>0</v>
      </c>
      <c r="K5" s="4">
        <v>0</v>
      </c>
      <c r="L5" s="4">
        <v>0</v>
      </c>
      <c r="M5" s="4">
        <v>99</v>
      </c>
    </row>
    <row r="6" s="1" customFormat="1" spans="1:13">
      <c r="A6" s="4" t="s">
        <v>96</v>
      </c>
      <c r="B6" s="4" t="s">
        <v>91</v>
      </c>
      <c r="C6" s="4">
        <v>40</v>
      </c>
      <c r="D6" s="4">
        <v>0</v>
      </c>
      <c r="E6" s="4">
        <v>0</v>
      </c>
      <c r="F6" s="4">
        <v>0</v>
      </c>
      <c r="G6" s="4">
        <v>0</v>
      </c>
      <c r="H6" s="4">
        <v>100</v>
      </c>
      <c r="I6" s="4" t="s">
        <v>97</v>
      </c>
      <c r="J6" s="4">
        <v>0</v>
      </c>
      <c r="K6" s="4">
        <v>0</v>
      </c>
      <c r="L6" s="4">
        <v>0</v>
      </c>
      <c r="M6" s="4">
        <v>99</v>
      </c>
    </row>
    <row r="7" s="1" customFormat="1" spans="1:13">
      <c r="A7" s="4" t="s">
        <v>98</v>
      </c>
      <c r="B7" s="4" t="s">
        <v>91</v>
      </c>
      <c r="C7" s="4">
        <v>0</v>
      </c>
      <c r="D7" s="4">
        <v>75</v>
      </c>
      <c r="E7" s="4">
        <v>0</v>
      </c>
      <c r="F7" s="4">
        <v>0</v>
      </c>
      <c r="G7" s="4">
        <v>0</v>
      </c>
      <c r="H7" s="4">
        <v>100</v>
      </c>
      <c r="I7" s="4" t="s">
        <v>35</v>
      </c>
      <c r="J7" s="4">
        <v>0</v>
      </c>
      <c r="K7" s="4">
        <v>0</v>
      </c>
      <c r="L7" s="4">
        <v>0</v>
      </c>
      <c r="M7" s="4">
        <v>99</v>
      </c>
    </row>
    <row r="8" s="1" customFormat="1" spans="1:13">
      <c r="A8" s="4" t="s">
        <v>99</v>
      </c>
      <c r="B8" s="4" t="s">
        <v>91</v>
      </c>
      <c r="C8" s="4">
        <v>30</v>
      </c>
      <c r="D8" s="4">
        <v>0</v>
      </c>
      <c r="E8" s="4">
        <v>0</v>
      </c>
      <c r="F8" s="4">
        <v>0</v>
      </c>
      <c r="G8" s="4">
        <v>0</v>
      </c>
      <c r="H8" s="4">
        <v>100</v>
      </c>
      <c r="I8" s="4" t="s">
        <v>35</v>
      </c>
      <c r="J8" s="4">
        <v>0</v>
      </c>
      <c r="K8" s="4">
        <v>0</v>
      </c>
      <c r="L8" s="4">
        <v>0</v>
      </c>
      <c r="M8" s="4">
        <v>99</v>
      </c>
    </row>
    <row r="9" s="1" customFormat="1" spans="1:13">
      <c r="A9" s="4" t="s">
        <v>100</v>
      </c>
      <c r="B9" s="4" t="s">
        <v>91</v>
      </c>
      <c r="C9" s="4">
        <v>0</v>
      </c>
      <c r="D9" s="4">
        <v>0</v>
      </c>
      <c r="E9" s="4">
        <v>0</v>
      </c>
      <c r="F9" s="4">
        <v>0</v>
      </c>
      <c r="G9" s="4">
        <v>65</v>
      </c>
      <c r="H9" s="4">
        <v>100</v>
      </c>
      <c r="I9" s="4" t="s">
        <v>35</v>
      </c>
      <c r="J9" s="4">
        <v>0</v>
      </c>
      <c r="K9" s="4">
        <v>0</v>
      </c>
      <c r="L9" s="4">
        <v>0</v>
      </c>
      <c r="M9" s="4">
        <v>99</v>
      </c>
    </row>
    <row r="10" s="1" customFormat="1" spans="1:13">
      <c r="A10" s="4" t="s">
        <v>101</v>
      </c>
      <c r="B10" s="4" t="s">
        <v>94</v>
      </c>
      <c r="C10" s="4">
        <v>90</v>
      </c>
      <c r="D10" s="4">
        <v>0</v>
      </c>
      <c r="E10" s="4">
        <v>0</v>
      </c>
      <c r="F10" s="4">
        <v>0</v>
      </c>
      <c r="G10" s="4">
        <v>0</v>
      </c>
      <c r="H10" s="4">
        <v>100</v>
      </c>
      <c r="I10" s="4" t="s">
        <v>35</v>
      </c>
      <c r="J10" s="4">
        <v>0</v>
      </c>
      <c r="K10" s="4">
        <v>0</v>
      </c>
      <c r="L10" s="4">
        <v>0</v>
      </c>
      <c r="M10" s="4">
        <v>50</v>
      </c>
    </row>
    <row r="11" s="1" customFormat="1" spans="1:13">
      <c r="A11" s="4" t="s">
        <v>102</v>
      </c>
      <c r="B11" s="4" t="s">
        <v>94</v>
      </c>
      <c r="C11" s="4">
        <v>0</v>
      </c>
      <c r="D11" s="4">
        <v>0</v>
      </c>
      <c r="E11" s="4">
        <v>0</v>
      </c>
      <c r="F11" s="4">
        <v>90</v>
      </c>
      <c r="G11" s="4">
        <v>0</v>
      </c>
      <c r="H11" s="4">
        <v>100</v>
      </c>
      <c r="I11" s="4" t="s">
        <v>35</v>
      </c>
      <c r="J11" s="4">
        <v>0</v>
      </c>
      <c r="K11" s="4">
        <v>0</v>
      </c>
      <c r="L11" s="4">
        <v>0</v>
      </c>
      <c r="M11" s="4">
        <v>50</v>
      </c>
    </row>
    <row r="12" s="1" customFormat="1" spans="1:13">
      <c r="A12" s="4" t="s">
        <v>103</v>
      </c>
      <c r="B12" s="4" t="s">
        <v>94</v>
      </c>
      <c r="C12" s="4">
        <v>60</v>
      </c>
      <c r="D12" s="4">
        <v>0</v>
      </c>
      <c r="E12" s="4">
        <v>0</v>
      </c>
      <c r="F12" s="4">
        <v>0</v>
      </c>
      <c r="G12" s="4">
        <v>0</v>
      </c>
      <c r="H12" s="4">
        <v>100</v>
      </c>
      <c r="I12" s="4" t="s">
        <v>97</v>
      </c>
      <c r="J12" s="4">
        <v>0</v>
      </c>
      <c r="K12" s="4">
        <v>0</v>
      </c>
      <c r="L12" s="4">
        <v>0</v>
      </c>
      <c r="M12" s="4">
        <v>30</v>
      </c>
    </row>
    <row r="13" s="1" customFormat="1" ht="24" spans="1:13">
      <c r="A13" s="4" t="s">
        <v>104</v>
      </c>
      <c r="B13" s="4" t="s">
        <v>94</v>
      </c>
      <c r="C13" s="4">
        <v>97</v>
      </c>
      <c r="D13" s="4">
        <v>0</v>
      </c>
      <c r="E13" s="4">
        <v>0</v>
      </c>
      <c r="F13" s="4">
        <v>0</v>
      </c>
      <c r="G13" s="4">
        <v>0</v>
      </c>
      <c r="H13" s="4">
        <v>100</v>
      </c>
      <c r="I13" s="4" t="s">
        <v>95</v>
      </c>
      <c r="J13" s="4">
        <v>0</v>
      </c>
      <c r="K13" s="4">
        <v>0</v>
      </c>
      <c r="L13" s="4">
        <v>0</v>
      </c>
      <c r="M13" s="4">
        <v>30</v>
      </c>
    </row>
    <row r="14" s="1" customFormat="1" spans="1:13">
      <c r="A14" s="4" t="s">
        <v>105</v>
      </c>
      <c r="B14" s="4" t="s">
        <v>106</v>
      </c>
      <c r="C14" s="4">
        <v>48</v>
      </c>
      <c r="D14" s="4">
        <v>0</v>
      </c>
      <c r="E14" s="4">
        <v>0</v>
      </c>
      <c r="F14" s="4">
        <v>0</v>
      </c>
      <c r="G14" s="4">
        <v>0</v>
      </c>
      <c r="H14" s="4">
        <v>100</v>
      </c>
      <c r="I14" s="4" t="s">
        <v>35</v>
      </c>
      <c r="J14" s="4">
        <v>0</v>
      </c>
      <c r="K14" s="4">
        <v>0</v>
      </c>
      <c r="L14" s="4">
        <v>0</v>
      </c>
      <c r="M14" s="4">
        <v>99</v>
      </c>
    </row>
    <row r="15" s="1" customFormat="1" spans="1:13">
      <c r="A15" s="4" t="s">
        <v>107</v>
      </c>
      <c r="B15" s="4" t="s">
        <v>106</v>
      </c>
      <c r="C15" s="4">
        <v>64</v>
      </c>
      <c r="D15" s="4">
        <v>0</v>
      </c>
      <c r="E15" s="4">
        <v>0</v>
      </c>
      <c r="F15" s="4">
        <v>0</v>
      </c>
      <c r="G15" s="4">
        <v>0</v>
      </c>
      <c r="H15" s="4">
        <v>100</v>
      </c>
      <c r="I15" s="4" t="s">
        <v>95</v>
      </c>
      <c r="J15" s="4">
        <v>0</v>
      </c>
      <c r="K15" s="4">
        <v>0</v>
      </c>
      <c r="L15" s="4">
        <v>0</v>
      </c>
      <c r="M15" s="4">
        <v>99</v>
      </c>
    </row>
    <row r="16" s="1" customFormat="1" spans="1:13">
      <c r="A16" s="4" t="s">
        <v>108</v>
      </c>
      <c r="B16" s="4" t="s">
        <v>106</v>
      </c>
      <c r="C16" s="4">
        <v>53</v>
      </c>
      <c r="D16" s="4">
        <v>0</v>
      </c>
      <c r="E16" s="4">
        <v>0</v>
      </c>
      <c r="F16" s="4">
        <v>0</v>
      </c>
      <c r="G16" s="4">
        <v>0</v>
      </c>
      <c r="H16" s="4">
        <v>100</v>
      </c>
      <c r="I16" s="4" t="s">
        <v>97</v>
      </c>
      <c r="J16" s="4">
        <v>0</v>
      </c>
      <c r="K16" s="4">
        <v>0</v>
      </c>
      <c r="L16" s="4">
        <v>0</v>
      </c>
      <c r="M16" s="4">
        <v>99</v>
      </c>
    </row>
    <row r="17" s="1" customFormat="1" spans="1:13">
      <c r="A17" s="4" t="s">
        <v>109</v>
      </c>
      <c r="B17" s="4" t="s">
        <v>106</v>
      </c>
      <c r="C17" s="4">
        <v>38</v>
      </c>
      <c r="D17" s="4">
        <v>0</v>
      </c>
      <c r="E17" s="4">
        <v>0</v>
      </c>
      <c r="F17" s="4">
        <v>0</v>
      </c>
      <c r="G17" s="4">
        <v>0</v>
      </c>
      <c r="H17" s="4">
        <v>100</v>
      </c>
      <c r="I17" s="4" t="s">
        <v>35</v>
      </c>
      <c r="J17" s="4">
        <v>0</v>
      </c>
      <c r="K17" s="4">
        <v>0</v>
      </c>
      <c r="L17" s="4">
        <v>0</v>
      </c>
      <c r="M17" s="4">
        <v>99</v>
      </c>
    </row>
    <row r="18" s="1" customFormat="1" spans="1:13">
      <c r="A18" s="4" t="s">
        <v>110</v>
      </c>
      <c r="B18" s="4" t="s">
        <v>106</v>
      </c>
      <c r="C18" s="4">
        <v>0</v>
      </c>
      <c r="D18" s="4">
        <v>0</v>
      </c>
      <c r="E18" s="4">
        <v>0</v>
      </c>
      <c r="F18" s="4">
        <v>110</v>
      </c>
      <c r="G18" s="4">
        <v>0</v>
      </c>
      <c r="H18" s="4">
        <v>100</v>
      </c>
      <c r="I18" s="4" t="s">
        <v>35</v>
      </c>
      <c r="J18" s="4">
        <v>0</v>
      </c>
      <c r="K18" s="4">
        <v>0</v>
      </c>
      <c r="L18" s="4">
        <v>0</v>
      </c>
      <c r="M18" s="4">
        <v>99</v>
      </c>
    </row>
    <row r="19" s="1" customFormat="1" spans="1:13">
      <c r="A19" s="4" t="s">
        <v>111</v>
      </c>
      <c r="B19" s="4" t="s">
        <v>106</v>
      </c>
      <c r="C19" s="4">
        <v>20</v>
      </c>
      <c r="D19" s="4">
        <v>0</v>
      </c>
      <c r="E19" s="4">
        <v>0</v>
      </c>
      <c r="F19" s="4">
        <v>0</v>
      </c>
      <c r="G19" s="4">
        <v>0</v>
      </c>
      <c r="H19" s="4">
        <v>100</v>
      </c>
      <c r="I19" s="4" t="s">
        <v>35</v>
      </c>
      <c r="J19" s="4">
        <v>3</v>
      </c>
      <c r="K19" s="4">
        <v>0</v>
      </c>
      <c r="L19" s="4">
        <v>0</v>
      </c>
      <c r="M19" s="4">
        <v>60</v>
      </c>
    </row>
    <row r="20" s="1" customFormat="1" spans="1:13">
      <c r="A20" s="4" t="s">
        <v>112</v>
      </c>
      <c r="B20" s="4" t="s">
        <v>106</v>
      </c>
      <c r="C20" s="4">
        <v>0</v>
      </c>
      <c r="D20" s="4">
        <v>0</v>
      </c>
      <c r="E20" s="4">
        <v>140</v>
      </c>
      <c r="F20" s="4">
        <v>0</v>
      </c>
      <c r="G20" s="4">
        <v>0</v>
      </c>
      <c r="H20" s="4">
        <v>100</v>
      </c>
      <c r="I20" s="4" t="s">
        <v>35</v>
      </c>
      <c r="J20" s="4">
        <v>0</v>
      </c>
      <c r="K20" s="4">
        <v>0</v>
      </c>
      <c r="L20" s="4">
        <v>0</v>
      </c>
      <c r="M20" s="4">
        <v>30</v>
      </c>
    </row>
  </sheetData>
  <hyperlinks>
    <hyperlink ref="A2" r:id="rId1" display="普通箭" tooltip="/dark_souls_3/baike2652?wid=94"/>
    <hyperlink ref="A3" r:id="rId2" display="火箭" tooltip="/dark_souls_3/baike2653?wid=94"/>
    <hyperlink ref="A4" r:id="rId3" display="毒箭" tooltip="/dark_souls_3/baike3300?wid=94"/>
    <hyperlink ref="A5" r:id="rId4" display="大箭" tooltip="/dark_souls_3/baike3301?wid=94"/>
    <hyperlink ref="A6" r:id="rId5" display="羽毛箭" tooltip="/dark_souls_3/baike3302?wid=94"/>
    <hyperlink ref="A7" r:id="rId6" display="月光箭" tooltip="/dark_souls_3/baike3303?wid=94"/>
    <hyperlink ref="A8" r:id="rId7" display="木箭" tooltip="/dark_souls_3/baike3304?wid=94"/>
    <hyperlink ref="A9" r:id="rId8" display="暗箭" tooltip="/dark_souls_3/baike3305?wid=94"/>
    <hyperlink ref="A10" r:id="rId9" display="猎龙大箭" tooltip="/dark_souls_3/baike3306?wid=94"/>
    <hyperlink ref="A11" r:id="rId10" display="猎龙雷箭" tooltip="/dark_souls_3/baike3307?wid=94"/>
    <hyperlink ref="A12" r:id="rId11" display="伐鬼大箭" tooltip="/dark_souls_3/baike3308?wid=94"/>
    <hyperlink ref="A13" r:id="rId12" display="米尔伍德大箭" tooltip="/dark_souls_3/baike3309?wid=94"/>
    <hyperlink ref="A14" r:id="rId13" display="普通弩箭" tooltip="/dark_souls_3/baike3310?wid=94"/>
    <hyperlink ref="A15" r:id="rId14" display="重弩箭" tooltip="/dark_souls_3/baike3311?wid=94"/>
    <hyperlink ref="A16" r:id="rId15" display="狙击弩箭" tooltip="/dark_souls_3/baike3312?wid=94"/>
    <hyperlink ref="A17" r:id="rId16" display="木弩箭" tooltip="/dark_souls_3/baike3313?wid=94"/>
    <hyperlink ref="A18" r:id="rId17" display="雷弩箭" tooltip="/dark_souls_3/baike3314?wid=94"/>
    <hyperlink ref="A19" r:id="rId18" display="破裂弩箭" tooltip="/dark_souls_3/baike3315?wid=94"/>
    <hyperlink ref="A20" r:id="rId19" display="爆裂弩箭" tooltip="/dark_souls_3/baike3316?wid=94"/>
  </hyperlink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18"/>
  <sheetViews>
    <sheetView workbookViewId="0">
      <selection activeCell="C54" sqref="C54"/>
    </sheetView>
  </sheetViews>
  <sheetFormatPr defaultColWidth="9" defaultRowHeight="13.5"/>
  <cols>
    <col min="1" max="16384" width="9" style="1"/>
  </cols>
  <sheetData>
    <row r="1" ht="24" spans="1:21">
      <c r="A1" s="2" t="s">
        <v>0</v>
      </c>
      <c r="B1" s="2" t="s">
        <v>2</v>
      </c>
      <c r="C1" s="2" t="s">
        <v>3</v>
      </c>
      <c r="D1" s="2" t="s">
        <v>4</v>
      </c>
      <c r="E1" s="2" t="s">
        <v>5</v>
      </c>
      <c r="F1" s="2" t="s">
        <v>6</v>
      </c>
      <c r="G1" s="2" t="s">
        <v>7</v>
      </c>
      <c r="H1" s="2" t="s">
        <v>8</v>
      </c>
      <c r="I1" s="2" t="s">
        <v>88</v>
      </c>
      <c r="J1" s="2" t="s">
        <v>20</v>
      </c>
      <c r="K1" s="2" t="s">
        <v>21</v>
      </c>
      <c r="L1" s="2" t="s">
        <v>22</v>
      </c>
      <c r="M1" s="2" t="s">
        <v>23</v>
      </c>
      <c r="N1" s="2" t="s">
        <v>24</v>
      </c>
      <c r="O1" s="2" t="s">
        <v>25</v>
      </c>
      <c r="P1" s="2" t="s">
        <v>26</v>
      </c>
      <c r="Q1" s="2" t="s">
        <v>27</v>
      </c>
      <c r="R1" s="2" t="s">
        <v>28</v>
      </c>
      <c r="S1" s="2" t="s">
        <v>29</v>
      </c>
      <c r="T1" s="2" t="s">
        <v>30</v>
      </c>
      <c r="U1" s="2" t="s">
        <v>31</v>
      </c>
    </row>
    <row r="2" spans="1:21">
      <c r="A2" s="4" t="s">
        <v>113</v>
      </c>
      <c r="B2" s="4" t="s">
        <v>114</v>
      </c>
      <c r="C2" s="4">
        <v>77</v>
      </c>
      <c r="D2" s="4">
        <v>0</v>
      </c>
      <c r="E2" s="4">
        <v>0</v>
      </c>
      <c r="F2" s="4">
        <v>0</v>
      </c>
      <c r="G2" s="4">
        <v>0</v>
      </c>
      <c r="H2" s="4">
        <v>100</v>
      </c>
      <c r="I2" s="4">
        <v>42</v>
      </c>
      <c r="J2" s="4" t="s">
        <v>34</v>
      </c>
      <c r="K2" s="4" t="s">
        <v>43</v>
      </c>
      <c r="L2" s="4" t="s">
        <v>35</v>
      </c>
      <c r="M2" s="4" t="s">
        <v>35</v>
      </c>
      <c r="N2" s="4" t="s">
        <v>115</v>
      </c>
      <c r="O2" s="4">
        <v>12</v>
      </c>
      <c r="P2" s="4">
        <v>0</v>
      </c>
      <c r="Q2" s="4">
        <v>0</v>
      </c>
      <c r="R2" s="4" t="s">
        <v>116</v>
      </c>
      <c r="S2" s="4">
        <f>-(4/4)</f>
        <v>-1</v>
      </c>
      <c r="T2" s="4">
        <v>2</v>
      </c>
      <c r="U2" s="4">
        <v>40</v>
      </c>
    </row>
    <row r="3" spans="1:21">
      <c r="A3" s="4" t="s">
        <v>117</v>
      </c>
      <c r="B3" s="4" t="s">
        <v>114</v>
      </c>
      <c r="C3" s="4">
        <v>73</v>
      </c>
      <c r="D3" s="4">
        <v>0</v>
      </c>
      <c r="E3" s="4">
        <v>0</v>
      </c>
      <c r="F3" s="4">
        <v>0</v>
      </c>
      <c r="G3" s="4">
        <v>0</v>
      </c>
      <c r="H3" s="4">
        <v>100</v>
      </c>
      <c r="I3" s="4">
        <v>42</v>
      </c>
      <c r="J3" s="4" t="s">
        <v>43</v>
      </c>
      <c r="K3" s="4" t="s">
        <v>43</v>
      </c>
      <c r="L3" s="4" t="s">
        <v>35</v>
      </c>
      <c r="M3" s="4" t="s">
        <v>35</v>
      </c>
      <c r="N3" s="4" t="s">
        <v>118</v>
      </c>
      <c r="O3" s="4">
        <v>12</v>
      </c>
      <c r="P3" s="4">
        <v>0</v>
      </c>
      <c r="Q3" s="4">
        <v>0</v>
      </c>
      <c r="R3" s="4" t="s">
        <v>116</v>
      </c>
      <c r="S3" s="4">
        <f>-(4/4)</f>
        <v>-1</v>
      </c>
      <c r="T3" s="4">
        <v>3.5</v>
      </c>
      <c r="U3" s="4">
        <v>65</v>
      </c>
    </row>
    <row r="4" spans="1:21">
      <c r="A4" s="4" t="s">
        <v>119</v>
      </c>
      <c r="B4" s="4" t="s">
        <v>114</v>
      </c>
      <c r="C4" s="4">
        <v>82</v>
      </c>
      <c r="D4" s="4">
        <v>0</v>
      </c>
      <c r="E4" s="4">
        <v>0</v>
      </c>
      <c r="F4" s="4">
        <v>0</v>
      </c>
      <c r="G4" s="4">
        <v>0</v>
      </c>
      <c r="H4" s="4">
        <v>100</v>
      </c>
      <c r="I4" s="4">
        <v>50</v>
      </c>
      <c r="J4" s="4" t="s">
        <v>34</v>
      </c>
      <c r="K4" s="4" t="s">
        <v>43</v>
      </c>
      <c r="L4" s="4" t="s">
        <v>35</v>
      </c>
      <c r="M4" s="4" t="s">
        <v>35</v>
      </c>
      <c r="N4" s="4" t="s">
        <v>120</v>
      </c>
      <c r="O4" s="4">
        <v>14</v>
      </c>
      <c r="P4" s="4">
        <v>0</v>
      </c>
      <c r="Q4" s="4">
        <v>0</v>
      </c>
      <c r="R4" s="4" t="s">
        <v>121</v>
      </c>
      <c r="S4" s="4">
        <f>-(9/9)</f>
        <v>-1</v>
      </c>
      <c r="T4" s="4">
        <v>4</v>
      </c>
      <c r="U4" s="4">
        <v>50</v>
      </c>
    </row>
    <row r="5" spans="1:21">
      <c r="A5" s="4" t="s">
        <v>122</v>
      </c>
      <c r="B5" s="4" t="s">
        <v>114</v>
      </c>
      <c r="C5" s="4">
        <v>110</v>
      </c>
      <c r="D5" s="4">
        <v>0</v>
      </c>
      <c r="E5" s="4">
        <v>0</v>
      </c>
      <c r="F5" s="4">
        <v>0</v>
      </c>
      <c r="G5" s="4">
        <v>0</v>
      </c>
      <c r="H5" s="4">
        <v>100</v>
      </c>
      <c r="I5" s="4">
        <v>50</v>
      </c>
      <c r="J5" s="4" t="s">
        <v>43</v>
      </c>
      <c r="K5" s="4" t="s">
        <v>34</v>
      </c>
      <c r="L5" s="4" t="s">
        <v>35</v>
      </c>
      <c r="M5" s="4" t="s">
        <v>35</v>
      </c>
      <c r="N5" s="4" t="s">
        <v>123</v>
      </c>
      <c r="O5" s="4">
        <v>15</v>
      </c>
      <c r="P5" s="4">
        <v>0</v>
      </c>
      <c r="Q5" s="4">
        <v>0</v>
      </c>
      <c r="R5" s="4" t="s">
        <v>121</v>
      </c>
      <c r="S5" s="4">
        <f>-(9/9)</f>
        <v>-1</v>
      </c>
      <c r="T5" s="4">
        <v>6.5</v>
      </c>
      <c r="U5" s="4">
        <v>75</v>
      </c>
    </row>
    <row r="6" spans="1:21">
      <c r="A6" s="4" t="s">
        <v>124</v>
      </c>
      <c r="B6" s="4" t="s">
        <v>114</v>
      </c>
      <c r="C6" s="4">
        <v>36</v>
      </c>
      <c r="D6" s="4">
        <v>44</v>
      </c>
      <c r="E6" s="4">
        <v>0</v>
      </c>
      <c r="F6" s="4">
        <v>0</v>
      </c>
      <c r="G6" s="4">
        <v>0</v>
      </c>
      <c r="H6" s="4">
        <v>100</v>
      </c>
      <c r="I6" s="4">
        <v>50</v>
      </c>
      <c r="J6" s="4" t="s">
        <v>35</v>
      </c>
      <c r="K6" s="4" t="s">
        <v>34</v>
      </c>
      <c r="L6" s="4" t="s">
        <v>53</v>
      </c>
      <c r="M6" s="4" t="s">
        <v>35</v>
      </c>
      <c r="N6" s="4" t="s">
        <v>115</v>
      </c>
      <c r="O6" s="4">
        <v>16</v>
      </c>
      <c r="P6" s="4">
        <v>10</v>
      </c>
      <c r="Q6" s="4">
        <v>0</v>
      </c>
      <c r="R6" s="4" t="s">
        <v>125</v>
      </c>
      <c r="S6" s="4">
        <f>-(10/10)</f>
        <v>-1</v>
      </c>
      <c r="T6" s="4">
        <v>4.5</v>
      </c>
      <c r="U6" s="4">
        <v>50</v>
      </c>
    </row>
    <row r="7" spans="1:21">
      <c r="A7" s="4" t="s">
        <v>126</v>
      </c>
      <c r="B7" s="4" t="s">
        <v>114</v>
      </c>
      <c r="C7" s="4">
        <v>67</v>
      </c>
      <c r="D7" s="4">
        <v>0</v>
      </c>
      <c r="E7" s="4">
        <v>0</v>
      </c>
      <c r="F7" s="4">
        <v>0</v>
      </c>
      <c r="G7" s="4">
        <v>0</v>
      </c>
      <c r="H7" s="4">
        <v>100</v>
      </c>
      <c r="I7" s="4">
        <v>63</v>
      </c>
      <c r="J7" s="4" t="s">
        <v>34</v>
      </c>
      <c r="K7" s="4" t="s">
        <v>53</v>
      </c>
      <c r="L7" s="4" t="s">
        <v>35</v>
      </c>
      <c r="M7" s="4" t="s">
        <v>35</v>
      </c>
      <c r="N7" s="4" t="s">
        <v>120</v>
      </c>
      <c r="O7" s="4">
        <v>18</v>
      </c>
      <c r="P7" s="4">
        <v>0</v>
      </c>
      <c r="Q7" s="4">
        <v>0</v>
      </c>
      <c r="R7" s="4" t="s">
        <v>127</v>
      </c>
      <c r="S7" s="4">
        <f>-(7/7)</f>
        <v>-1</v>
      </c>
      <c r="T7" s="4">
        <v>3</v>
      </c>
      <c r="U7" s="4">
        <v>65</v>
      </c>
    </row>
    <row r="8" spans="1:21">
      <c r="A8" s="4" t="s">
        <v>128</v>
      </c>
      <c r="B8" s="4" t="s">
        <v>114</v>
      </c>
      <c r="C8" s="4">
        <v>82</v>
      </c>
      <c r="D8" s="4">
        <v>0</v>
      </c>
      <c r="E8" s="4">
        <v>0</v>
      </c>
      <c r="F8" s="4">
        <v>0</v>
      </c>
      <c r="G8" s="4">
        <v>0</v>
      </c>
      <c r="H8" s="4">
        <v>100</v>
      </c>
      <c r="I8" s="4">
        <v>49</v>
      </c>
      <c r="J8" s="4" t="s">
        <v>34</v>
      </c>
      <c r="K8" s="4" t="s">
        <v>43</v>
      </c>
      <c r="L8" s="4" t="s">
        <v>35</v>
      </c>
      <c r="M8" s="4" t="s">
        <v>35</v>
      </c>
      <c r="N8" s="4">
        <v>8</v>
      </c>
      <c r="O8" s="4">
        <v>20</v>
      </c>
      <c r="P8" s="4">
        <v>0</v>
      </c>
      <c r="Q8" s="4">
        <v>0</v>
      </c>
      <c r="R8" s="4" t="s">
        <v>129</v>
      </c>
      <c r="S8" s="4">
        <f>-(6/6)</f>
        <v>-1</v>
      </c>
      <c r="T8" s="4">
        <v>2.5</v>
      </c>
      <c r="U8" s="4">
        <v>50</v>
      </c>
    </row>
    <row r="9" s="1" customFormat="1" spans="1:21">
      <c r="A9" s="4" t="s">
        <v>130</v>
      </c>
      <c r="B9" s="4" t="s">
        <v>131</v>
      </c>
      <c r="C9" s="4">
        <v>126</v>
      </c>
      <c r="D9" s="4">
        <v>0</v>
      </c>
      <c r="E9" s="4">
        <v>0</v>
      </c>
      <c r="F9" s="4">
        <v>0</v>
      </c>
      <c r="G9" s="4">
        <v>0</v>
      </c>
      <c r="H9" s="4">
        <v>100</v>
      </c>
      <c r="I9" s="4">
        <v>50</v>
      </c>
      <c r="J9" s="4" t="s">
        <v>43</v>
      </c>
      <c r="K9" s="4" t="s">
        <v>43</v>
      </c>
      <c r="L9" s="4" t="s">
        <v>35</v>
      </c>
      <c r="M9" s="4" t="s">
        <v>35</v>
      </c>
      <c r="N9" s="4" t="s">
        <v>132</v>
      </c>
      <c r="O9" s="4">
        <v>20</v>
      </c>
      <c r="P9" s="4">
        <v>0</v>
      </c>
      <c r="Q9" s="4">
        <v>0</v>
      </c>
      <c r="R9" s="4" t="s">
        <v>133</v>
      </c>
      <c r="S9" s="4">
        <f>-(20/20)</f>
        <v>-1</v>
      </c>
      <c r="T9" s="4">
        <v>10</v>
      </c>
      <c r="U9" s="4">
        <v>100</v>
      </c>
    </row>
    <row r="10" s="1" customFormat="1" spans="1:21">
      <c r="A10" s="4" t="s">
        <v>134</v>
      </c>
      <c r="B10" s="4" t="s">
        <v>131</v>
      </c>
      <c r="C10" s="4">
        <v>111</v>
      </c>
      <c r="D10" s="4">
        <v>0</v>
      </c>
      <c r="E10" s="4">
        <v>0</v>
      </c>
      <c r="F10" s="4">
        <v>0</v>
      </c>
      <c r="G10" s="4">
        <v>0</v>
      </c>
      <c r="H10" s="4">
        <v>100</v>
      </c>
      <c r="I10" s="4">
        <v>63</v>
      </c>
      <c r="J10" s="4" t="s">
        <v>34</v>
      </c>
      <c r="K10" s="4" t="s">
        <v>53</v>
      </c>
      <c r="L10" s="4" t="s">
        <v>35</v>
      </c>
      <c r="M10" s="4" t="s">
        <v>35</v>
      </c>
      <c r="N10" s="4" t="s">
        <v>135</v>
      </c>
      <c r="O10" s="4">
        <v>24</v>
      </c>
      <c r="P10" s="4">
        <v>0</v>
      </c>
      <c r="Q10" s="4">
        <v>0</v>
      </c>
      <c r="R10" s="4" t="s">
        <v>133</v>
      </c>
      <c r="S10" s="4">
        <f>-(17/17)</f>
        <v>-1</v>
      </c>
      <c r="T10" s="4">
        <v>7.5</v>
      </c>
      <c r="U10" s="4">
        <v>65</v>
      </c>
    </row>
    <row r="11" s="1" customFormat="1" ht="24" spans="1:21">
      <c r="A11" s="4" t="s">
        <v>136</v>
      </c>
      <c r="B11" s="4" t="s">
        <v>131</v>
      </c>
      <c r="C11" s="4">
        <v>139</v>
      </c>
      <c r="D11" s="4">
        <v>0</v>
      </c>
      <c r="E11" s="4">
        <v>0</v>
      </c>
      <c r="F11" s="4">
        <v>0</v>
      </c>
      <c r="G11" s="4">
        <v>0</v>
      </c>
      <c r="H11" s="4">
        <v>100</v>
      </c>
      <c r="I11" s="4">
        <v>39</v>
      </c>
      <c r="J11" s="4" t="s">
        <v>53</v>
      </c>
      <c r="K11" s="4" t="s">
        <v>34</v>
      </c>
      <c r="L11" s="4" t="s">
        <v>35</v>
      </c>
      <c r="M11" s="4" t="s">
        <v>35</v>
      </c>
      <c r="N11" s="4" t="s">
        <v>137</v>
      </c>
      <c r="O11" s="4">
        <v>12</v>
      </c>
      <c r="P11" s="4">
        <v>0</v>
      </c>
      <c r="Q11" s="4">
        <v>0</v>
      </c>
      <c r="R11" s="4" t="s">
        <v>138</v>
      </c>
      <c r="S11" s="4">
        <f>-(20/20)</f>
        <v>-1</v>
      </c>
      <c r="T11" s="4">
        <v>9</v>
      </c>
      <c r="U11" s="4">
        <v>100</v>
      </c>
    </row>
    <row r="12" s="1" customFormat="1" spans="1:21">
      <c r="A12" s="4" t="s">
        <v>139</v>
      </c>
      <c r="B12" s="4" t="s">
        <v>140</v>
      </c>
      <c r="C12" s="4">
        <v>64</v>
      </c>
      <c r="D12" s="4">
        <v>0</v>
      </c>
      <c r="E12" s="4">
        <v>0</v>
      </c>
      <c r="F12" s="4">
        <v>0</v>
      </c>
      <c r="G12" s="4">
        <v>0</v>
      </c>
      <c r="H12" s="4">
        <v>100</v>
      </c>
      <c r="I12" s="4">
        <v>42</v>
      </c>
      <c r="J12" s="4" t="s">
        <v>35</v>
      </c>
      <c r="K12" s="4" t="s">
        <v>35</v>
      </c>
      <c r="L12" s="4" t="s">
        <v>35</v>
      </c>
      <c r="M12" s="4" t="s">
        <v>35</v>
      </c>
      <c r="N12" s="4">
        <v>10</v>
      </c>
      <c r="O12" s="4">
        <v>8</v>
      </c>
      <c r="P12" s="4">
        <v>0</v>
      </c>
      <c r="Q12" s="4">
        <v>0</v>
      </c>
      <c r="R12" s="4" t="s">
        <v>141</v>
      </c>
      <c r="S12" s="4" t="s">
        <v>38</v>
      </c>
      <c r="T12" s="4">
        <v>3</v>
      </c>
      <c r="U12" s="4">
        <v>45</v>
      </c>
    </row>
    <row r="13" s="1" customFormat="1" spans="1:21">
      <c r="A13" s="4" t="s">
        <v>142</v>
      </c>
      <c r="B13" s="4" t="s">
        <v>140</v>
      </c>
      <c r="C13" s="4">
        <v>78</v>
      </c>
      <c r="D13" s="4">
        <v>0</v>
      </c>
      <c r="E13" s="4">
        <v>0</v>
      </c>
      <c r="F13" s="4">
        <v>0</v>
      </c>
      <c r="G13" s="4">
        <v>0</v>
      </c>
      <c r="H13" s="4">
        <v>100</v>
      </c>
      <c r="I13" s="4">
        <v>50</v>
      </c>
      <c r="J13" s="4" t="s">
        <v>35</v>
      </c>
      <c r="K13" s="4" t="s">
        <v>35</v>
      </c>
      <c r="L13" s="4" t="s">
        <v>35</v>
      </c>
      <c r="M13" s="4" t="s">
        <v>35</v>
      </c>
      <c r="N13" s="4">
        <v>18</v>
      </c>
      <c r="O13" s="4">
        <v>8</v>
      </c>
      <c r="P13" s="4">
        <v>0</v>
      </c>
      <c r="Q13" s="4">
        <v>0</v>
      </c>
      <c r="R13" s="4" t="s">
        <v>141</v>
      </c>
      <c r="S13" s="4" t="s">
        <v>38</v>
      </c>
      <c r="T13" s="4">
        <v>6</v>
      </c>
      <c r="U13" s="4">
        <v>50</v>
      </c>
    </row>
    <row r="14" s="1" customFormat="1" spans="1:21">
      <c r="A14" s="4" t="s">
        <v>143</v>
      </c>
      <c r="B14" s="4" t="s">
        <v>140</v>
      </c>
      <c r="C14" s="4">
        <v>64</v>
      </c>
      <c r="D14" s="4">
        <v>0</v>
      </c>
      <c r="E14" s="4">
        <v>0</v>
      </c>
      <c r="F14" s="4">
        <v>0</v>
      </c>
      <c r="G14" s="4">
        <v>0</v>
      </c>
      <c r="H14" s="4">
        <v>100</v>
      </c>
      <c r="I14" s="4">
        <v>35</v>
      </c>
      <c r="J14" s="4" t="s">
        <v>35</v>
      </c>
      <c r="K14" s="4" t="s">
        <v>35</v>
      </c>
      <c r="L14" s="4" t="s">
        <v>35</v>
      </c>
      <c r="M14" s="4" t="s">
        <v>35</v>
      </c>
      <c r="N14" s="4">
        <v>16</v>
      </c>
      <c r="O14" s="4">
        <v>14</v>
      </c>
      <c r="P14" s="4">
        <v>0</v>
      </c>
      <c r="Q14" s="4">
        <v>0</v>
      </c>
      <c r="R14" s="4" t="s">
        <v>141</v>
      </c>
      <c r="S14" s="4" t="s">
        <v>38</v>
      </c>
      <c r="T14" s="4">
        <v>7.5</v>
      </c>
      <c r="U14" s="4">
        <v>35</v>
      </c>
    </row>
    <row r="15" s="1" customFormat="1" spans="1:21">
      <c r="A15" s="4" t="s">
        <v>144</v>
      </c>
      <c r="B15" s="4" t="s">
        <v>140</v>
      </c>
      <c r="C15" s="4">
        <v>40</v>
      </c>
      <c r="D15" s="4">
        <v>0</v>
      </c>
      <c r="E15" s="4">
        <v>0</v>
      </c>
      <c r="F15" s="4">
        <v>40</v>
      </c>
      <c r="G15" s="4">
        <v>0</v>
      </c>
      <c r="H15" s="4">
        <v>100</v>
      </c>
      <c r="I15" s="4">
        <v>42</v>
      </c>
      <c r="J15" s="4" t="s">
        <v>35</v>
      </c>
      <c r="K15" s="4" t="s">
        <v>35</v>
      </c>
      <c r="L15" s="4" t="s">
        <v>35</v>
      </c>
      <c r="M15" s="4" t="s">
        <v>35</v>
      </c>
      <c r="N15" s="4">
        <v>12</v>
      </c>
      <c r="O15" s="4">
        <v>8</v>
      </c>
      <c r="P15" s="4">
        <v>0</v>
      </c>
      <c r="Q15" s="4">
        <v>0</v>
      </c>
      <c r="R15" s="4" t="s">
        <v>141</v>
      </c>
      <c r="S15" s="4" t="s">
        <v>38</v>
      </c>
      <c r="T15" s="4">
        <v>4</v>
      </c>
      <c r="U15" s="4">
        <v>50</v>
      </c>
    </row>
    <row r="16" s="1" customFormat="1" spans="1:21">
      <c r="A16" s="4" t="s">
        <v>145</v>
      </c>
      <c r="B16" s="4" t="s">
        <v>140</v>
      </c>
      <c r="C16" s="4">
        <v>72</v>
      </c>
      <c r="D16" s="4">
        <v>0</v>
      </c>
      <c r="E16" s="4">
        <v>0</v>
      </c>
      <c r="F16" s="4">
        <v>0</v>
      </c>
      <c r="G16" s="4">
        <v>0</v>
      </c>
      <c r="H16" s="4">
        <v>100</v>
      </c>
      <c r="I16" s="4">
        <v>50</v>
      </c>
      <c r="J16" s="4" t="s">
        <v>35</v>
      </c>
      <c r="K16" s="4" t="s">
        <v>35</v>
      </c>
      <c r="L16" s="4" t="s">
        <v>35</v>
      </c>
      <c r="M16" s="4" t="s">
        <v>35</v>
      </c>
      <c r="N16" s="4">
        <v>14</v>
      </c>
      <c r="O16" s="4">
        <v>8</v>
      </c>
      <c r="P16" s="4">
        <v>0</v>
      </c>
      <c r="Q16" s="4">
        <v>0</v>
      </c>
      <c r="R16" s="4" t="s">
        <v>141</v>
      </c>
      <c r="S16" s="4" t="s">
        <v>38</v>
      </c>
      <c r="T16" s="4">
        <v>4.5</v>
      </c>
      <c r="U16" s="4">
        <v>55</v>
      </c>
    </row>
    <row r="17" s="1" customFormat="1" spans="1:21">
      <c r="A17" s="4" t="s">
        <v>146</v>
      </c>
      <c r="B17" s="4" t="s">
        <v>140</v>
      </c>
      <c r="C17" s="4">
        <v>70</v>
      </c>
      <c r="D17" s="4">
        <v>0</v>
      </c>
      <c r="E17" s="4">
        <v>0</v>
      </c>
      <c r="F17" s="4">
        <v>0</v>
      </c>
      <c r="G17" s="4">
        <v>0</v>
      </c>
      <c r="H17" s="4">
        <v>100</v>
      </c>
      <c r="I17" s="4">
        <v>59</v>
      </c>
      <c r="J17" s="4" t="s">
        <v>35</v>
      </c>
      <c r="K17" s="4" t="s">
        <v>35</v>
      </c>
      <c r="L17" s="4" t="s">
        <v>35</v>
      </c>
      <c r="M17" s="4" t="s">
        <v>35</v>
      </c>
      <c r="N17" s="4">
        <v>18</v>
      </c>
      <c r="O17" s="4">
        <v>16</v>
      </c>
      <c r="P17" s="4">
        <v>0</v>
      </c>
      <c r="Q17" s="4">
        <v>0</v>
      </c>
      <c r="R17" s="4" t="s">
        <v>141</v>
      </c>
      <c r="S17" s="4" t="s">
        <v>38</v>
      </c>
      <c r="T17" s="4">
        <v>7.5</v>
      </c>
      <c r="U17" s="4">
        <v>55</v>
      </c>
    </row>
    <row r="18" s="1" customFormat="1" spans="1:21">
      <c r="A18" s="4" t="s">
        <v>147</v>
      </c>
      <c r="B18" s="4" t="s">
        <v>140</v>
      </c>
      <c r="C18" s="4">
        <v>83</v>
      </c>
      <c r="D18" s="4">
        <v>0</v>
      </c>
      <c r="E18" s="4">
        <v>0</v>
      </c>
      <c r="F18" s="4">
        <v>0</v>
      </c>
      <c r="G18" s="4">
        <v>0</v>
      </c>
      <c r="H18" s="4">
        <v>100</v>
      </c>
      <c r="I18" s="4">
        <v>49</v>
      </c>
      <c r="J18" s="4" t="s">
        <v>35</v>
      </c>
      <c r="K18" s="4" t="s">
        <v>35</v>
      </c>
      <c r="L18" s="4" t="s">
        <v>35</v>
      </c>
      <c r="M18" s="4" t="s">
        <v>35</v>
      </c>
      <c r="N18" s="4">
        <v>16</v>
      </c>
      <c r="O18" s="4">
        <v>20</v>
      </c>
      <c r="P18" s="4">
        <v>0</v>
      </c>
      <c r="Q18" s="4">
        <v>0</v>
      </c>
      <c r="R18" s="4" t="s">
        <v>148</v>
      </c>
      <c r="S18" s="4">
        <f>-(13/13)</f>
        <v>-1</v>
      </c>
      <c r="T18" s="4">
        <v>7.5</v>
      </c>
      <c r="U18" s="4">
        <v>20</v>
      </c>
    </row>
  </sheetData>
  <hyperlinks>
    <hyperlink ref="A2" r:id="rId1" display="短弓" tooltip="/dark_souls_3/baike3284?wid=755"/>
    <hyperlink ref="R2" r:id="rId2" display="连续射击" tooltip="/dark_souls_3/item12195?wid=755"/>
    <hyperlink ref="A3" r:id="rId3" display="复合弓" tooltip="/dark_souls_3/baike3285?wid=755"/>
    <hyperlink ref="R3" r:id="rId2" display="连续射击" tooltip="/dark_souls_3/item12195?wid=755"/>
    <hyperlink ref="A4" r:id="rId4" display="长弓" tooltip="/dark_souls_3/baike3288?wid=755"/>
    <hyperlink ref="R4" r:id="rId5" display="强力射击" tooltip="/dark_souls_3/item12197?wid=755"/>
    <hyperlink ref="A5" r:id="rId6" display="龙骑兵弓" tooltip="/dark_souls_3/baike3289?wid=755"/>
    <hyperlink ref="R5" r:id="rId5" display="强力射击" tooltip="/dark_souls_3/item12197?wid=755"/>
    <hyperlink ref="A6" r:id="rId7" display="暗月长弓" tooltip="/dark_souls_3/baike3293?wid=755"/>
    <hyperlink ref="R6" r:id="rId8" display="暗月箭" tooltip="/dark_souls_3/item12198?wid=755"/>
    <hyperlink ref="A7" r:id="rId9" display="法里斯弓" tooltip="/dark_souls_3/baike3295?wid=755"/>
    <hyperlink ref="R7" r:id="rId10" display="法里斯三射" tooltip="/dark_souls_3/item12199?wid=755"/>
    <hyperlink ref="A8" r:id="rId11" display="白树弓" tooltip="/dark_souls_3/baike3298?wid=755"/>
    <hyperlink ref="R8" r:id="rId12" display="隐形箭" tooltip="/dark_souls_3/item12232?wid=755"/>
    <hyperlink ref="A9" r:id="rId13" display="猎龙大弓" tooltip="/dark_souls_3/baike3283?wid=756"/>
    <hyperlink ref="R9" r:id="rId14" display="贯穿射击" tooltip="/dark_souls_3/item12194?wid=756"/>
    <hyperlink ref="A10" r:id="rId15" display="伐鬼大弓" tooltip="/dark_souls_3/baike3294?wid=756"/>
    <hyperlink ref="R10" r:id="rId14" display="贯穿射击" tooltip="/dark_souls_3/item12194?wid=756"/>
    <hyperlink ref="A11" r:id="rId16" display="米尔伍德大弓" tooltip="/dark_souls_3/baike3297?wid=756"/>
    <hyperlink ref="R11" r:id="rId17" display="地面射击" tooltip="/dark_souls_3/item12218?wid=756"/>
    <hyperlink ref="A12" r:id="rId18" display="轻弩" tooltip="/dark_souls_3/baike3286?wid=757"/>
    <hyperlink ref="R12" r:id="rId19" display="撞击" tooltip="/dark_souls_3/item12196?wid=757"/>
    <hyperlink ref="A13" r:id="rId20" display="亚伯里斯" tooltip="/dark_souls_3/baike3287?wid=757"/>
    <hyperlink ref="R13" r:id="rId19" display="撞击" tooltip="/dark_souls_3/item12196?wid=757"/>
    <hyperlink ref="A14" r:id="rId21" display="雅帆琳" tooltip="/dark_souls_3/baike3290?wid=757"/>
    <hyperlink ref="R14" r:id="rId19" display="撞击" tooltip="/dark_souls_3/item12196?wid=757"/>
    <hyperlink ref="A15" r:id="rId22" display="骑士弩" tooltip="/dark_souls_3/baike3291?wid=757"/>
    <hyperlink ref="R15" r:id="rId19" display="撞击" tooltip="/dark_souls_3/item12196?wid=757"/>
    <hyperlink ref="A16" r:id="rId23" display="重弩" tooltip="/dark_souls_3/baike3292?wid=757"/>
    <hyperlink ref="R16" r:id="rId19" display="撞击" tooltip="/dark_souls_3/item12196?wid=757"/>
    <hyperlink ref="A17" r:id="rId24" display="狙击弩" tooltip="/dark_souls_3/baike3296?wid=757"/>
    <hyperlink ref="R17" r:id="rId19" display="撞击" tooltip="/dark_souls_3/item12196?wid=757"/>
    <hyperlink ref="A18" r:id="rId25" display="连射弩" tooltip="/dark_souls_3/baike3299?wid=757"/>
    <hyperlink ref="R18" r:id="rId26" display="灯火连射" tooltip="/dark_souls_3/item12171?wid=757"/>
  </hyperlink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J181"/>
  <sheetViews>
    <sheetView workbookViewId="0">
      <pane xSplit="1" ySplit="1" topLeftCell="B30" activePane="bottomRight" state="frozen"/>
      <selection/>
      <selection pane="topRight"/>
      <selection pane="bottomLeft"/>
      <selection pane="bottomRight" activeCell="A39" sqref="A39"/>
    </sheetView>
  </sheetViews>
  <sheetFormatPr defaultColWidth="9" defaultRowHeight="13.5"/>
  <cols>
    <col min="1" max="1" width="9" style="1"/>
    <col min="2" max="3" width="12.5" style="1"/>
    <col min="4" max="29" width="9" style="1"/>
    <col min="30" max="30" width="12" style="1"/>
    <col min="31" max="16384" width="9" style="1"/>
  </cols>
  <sheetData>
    <row r="1" ht="48" spans="1:3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2" t="s">
        <v>10</v>
      </c>
      <c r="L1" s="2" t="s">
        <v>11</v>
      </c>
      <c r="M1" s="2" t="s">
        <v>12</v>
      </c>
      <c r="N1" s="2" t="s">
        <v>13</v>
      </c>
      <c r="O1" s="2" t="s">
        <v>14</v>
      </c>
      <c r="P1" s="2" t="s">
        <v>15</v>
      </c>
      <c r="Q1" s="2" t="s">
        <v>16</v>
      </c>
      <c r="R1" s="2" t="s">
        <v>17</v>
      </c>
      <c r="S1" s="2" t="s">
        <v>18</v>
      </c>
      <c r="T1" s="2" t="s">
        <v>19</v>
      </c>
      <c r="U1" s="2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</row>
    <row r="2" s="1" customFormat="1" ht="75" spans="1:32">
      <c r="A2" s="4" t="s">
        <v>149</v>
      </c>
      <c r="B2" s="1" t="str">
        <f>_xlfn.DISPIMG("ID_EF31ED6BEE304B0AB35084908A3F2919",1)</f>
        <v>=DISPIMG("ID_EF31ED6BEE304B0AB35084908A3F2919",1)</v>
      </c>
      <c r="C2" s="1" t="s">
        <v>149</v>
      </c>
      <c r="D2" s="4">
        <v>35</v>
      </c>
      <c r="E2" s="4">
        <v>0</v>
      </c>
      <c r="F2" s="4">
        <v>80</v>
      </c>
      <c r="G2" s="4">
        <v>0</v>
      </c>
      <c r="H2" s="4">
        <v>0</v>
      </c>
      <c r="I2" s="4">
        <v>100</v>
      </c>
      <c r="J2" s="4" t="s">
        <v>35</v>
      </c>
      <c r="K2" s="4" t="s">
        <v>35</v>
      </c>
      <c r="L2" s="4">
        <v>30</v>
      </c>
      <c r="M2" s="4">
        <v>20</v>
      </c>
      <c r="N2" s="4">
        <v>15</v>
      </c>
      <c r="O2" s="4">
        <v>15</v>
      </c>
      <c r="P2" s="4">
        <v>20</v>
      </c>
      <c r="Q2" s="4">
        <v>17</v>
      </c>
      <c r="R2" s="4">
        <v>0</v>
      </c>
      <c r="S2" s="4">
        <v>0</v>
      </c>
      <c r="T2" s="4">
        <v>0</v>
      </c>
      <c r="U2" s="4" t="s">
        <v>43</v>
      </c>
      <c r="V2" s="4" t="s">
        <v>35</v>
      </c>
      <c r="W2" s="4" t="s">
        <v>35</v>
      </c>
      <c r="X2" s="4" t="s">
        <v>35</v>
      </c>
      <c r="Y2" s="4">
        <v>5</v>
      </c>
      <c r="Z2" s="4">
        <v>0</v>
      </c>
      <c r="AA2" s="4">
        <v>0</v>
      </c>
      <c r="AB2" s="4">
        <v>0</v>
      </c>
      <c r="AC2" s="4" t="s">
        <v>35</v>
      </c>
      <c r="AD2" s="4" t="s">
        <v>150</v>
      </c>
      <c r="AE2" s="4">
        <v>1</v>
      </c>
      <c r="AF2" s="4">
        <v>45</v>
      </c>
    </row>
    <row r="3" s="1" customFormat="1" ht="75" spans="1:32">
      <c r="A3" s="4" t="s">
        <v>151</v>
      </c>
      <c r="B3" s="1" t="str">
        <f>_xlfn.DISPIMG("ID_F37EEACBBDAF42638A6DA3E76D9AF4E8",1)</f>
        <v>=DISPIMG("ID_F37EEACBBDAF42638A6DA3E76D9AF4E8",1)</v>
      </c>
      <c r="C3" s="1" t="s">
        <v>149</v>
      </c>
      <c r="D3" s="4">
        <v>90</v>
      </c>
      <c r="E3" s="4">
        <v>0</v>
      </c>
      <c r="F3" s="4">
        <v>65</v>
      </c>
      <c r="G3" s="4">
        <v>0</v>
      </c>
      <c r="H3" s="4">
        <v>0</v>
      </c>
      <c r="I3" s="4">
        <v>100</v>
      </c>
      <c r="J3" s="4" t="s">
        <v>35</v>
      </c>
      <c r="K3" s="4" t="s">
        <v>35</v>
      </c>
      <c r="L3" s="4">
        <v>45</v>
      </c>
      <c r="M3" s="4">
        <v>30</v>
      </c>
      <c r="N3" s="4">
        <v>25</v>
      </c>
      <c r="O3" s="4">
        <v>25</v>
      </c>
      <c r="P3" s="4">
        <v>30</v>
      </c>
      <c r="Q3" s="4">
        <v>30</v>
      </c>
      <c r="R3" s="4">
        <v>0</v>
      </c>
      <c r="S3" s="4">
        <v>0</v>
      </c>
      <c r="T3" s="4">
        <v>0</v>
      </c>
      <c r="U3" s="4" t="s">
        <v>43</v>
      </c>
      <c r="V3" s="4" t="s">
        <v>34</v>
      </c>
      <c r="W3" s="4" t="s">
        <v>34</v>
      </c>
      <c r="X3" s="4" t="s">
        <v>34</v>
      </c>
      <c r="Y3" s="4">
        <v>14</v>
      </c>
      <c r="Z3" s="4">
        <v>0</v>
      </c>
      <c r="AA3" s="4">
        <v>10</v>
      </c>
      <c r="AB3" s="4">
        <v>10</v>
      </c>
      <c r="AC3" s="4" t="s">
        <v>152</v>
      </c>
      <c r="AD3" s="4" t="s">
        <v>75</v>
      </c>
      <c r="AE3" s="4">
        <v>6</v>
      </c>
      <c r="AF3" s="4">
        <v>45</v>
      </c>
    </row>
    <row r="4" ht="75" spans="1:32">
      <c r="A4" s="4" t="s">
        <v>153</v>
      </c>
      <c r="B4" s="1" t="str">
        <f>_xlfn.DISPIMG("ID_D612C3F177E041FC852FA8AE80517A4A",1)</f>
        <v>=DISPIMG("ID_D612C3F177E041FC852FA8AE80517A4A",1)</v>
      </c>
      <c r="C4" s="1" t="s">
        <v>154</v>
      </c>
      <c r="D4" s="4">
        <v>65</v>
      </c>
      <c r="E4" s="4">
        <v>0</v>
      </c>
      <c r="F4" s="4">
        <v>0</v>
      </c>
      <c r="G4" s="4">
        <v>0</v>
      </c>
      <c r="H4" s="4">
        <v>0</v>
      </c>
      <c r="I4" s="4">
        <v>130</v>
      </c>
      <c r="J4" s="4" t="s">
        <v>35</v>
      </c>
      <c r="K4" s="4" t="s">
        <v>35</v>
      </c>
      <c r="L4" s="4">
        <v>35</v>
      </c>
      <c r="M4" s="4">
        <v>20</v>
      </c>
      <c r="N4" s="4">
        <v>15</v>
      </c>
      <c r="O4" s="4">
        <v>15</v>
      </c>
      <c r="P4" s="4">
        <v>20</v>
      </c>
      <c r="Q4" s="4">
        <v>15</v>
      </c>
      <c r="R4" s="4">
        <v>0</v>
      </c>
      <c r="S4" s="4">
        <v>0</v>
      </c>
      <c r="T4" s="4">
        <v>0</v>
      </c>
      <c r="U4" s="4" t="s">
        <v>34</v>
      </c>
      <c r="V4" s="4" t="s">
        <v>53</v>
      </c>
      <c r="W4" s="4" t="s">
        <v>35</v>
      </c>
      <c r="X4" s="4" t="s">
        <v>35</v>
      </c>
      <c r="Y4" s="4">
        <v>5</v>
      </c>
      <c r="Z4" s="4">
        <v>9</v>
      </c>
      <c r="AA4" s="4">
        <v>0</v>
      </c>
      <c r="AB4" s="4">
        <v>0</v>
      </c>
      <c r="AC4" s="4" t="s">
        <v>155</v>
      </c>
      <c r="AD4" s="4" t="s">
        <v>59</v>
      </c>
      <c r="AE4" s="4">
        <v>1.5</v>
      </c>
      <c r="AF4" s="4">
        <v>50</v>
      </c>
    </row>
    <row r="5" ht="75" spans="1:32">
      <c r="A5" s="4" t="s">
        <v>156</v>
      </c>
      <c r="B5" s="1" t="str">
        <f>_xlfn.DISPIMG("ID_D450294DF5E04F1D964F9F386DD1E678",1)</f>
        <v>=DISPIMG("ID_D450294DF5E04F1D964F9F386DD1E678",1)</v>
      </c>
      <c r="C5" s="1" t="s">
        <v>154</v>
      </c>
      <c r="D5" s="4">
        <v>79</v>
      </c>
      <c r="E5" s="4">
        <v>0</v>
      </c>
      <c r="F5" s="4">
        <v>0</v>
      </c>
      <c r="G5" s="4">
        <v>0</v>
      </c>
      <c r="H5" s="4">
        <v>0</v>
      </c>
      <c r="I5" s="4">
        <v>110</v>
      </c>
      <c r="J5" s="4" t="s">
        <v>35</v>
      </c>
      <c r="K5" s="4" t="s">
        <v>35</v>
      </c>
      <c r="L5" s="4">
        <v>35</v>
      </c>
      <c r="M5" s="4">
        <v>20</v>
      </c>
      <c r="N5" s="4">
        <v>15</v>
      </c>
      <c r="O5" s="4">
        <v>15</v>
      </c>
      <c r="P5" s="4">
        <v>20</v>
      </c>
      <c r="Q5" s="4">
        <v>15</v>
      </c>
      <c r="R5" s="4">
        <v>30</v>
      </c>
      <c r="S5" s="4">
        <v>0</v>
      </c>
      <c r="T5" s="4">
        <v>0</v>
      </c>
      <c r="U5" s="4" t="s">
        <v>43</v>
      </c>
      <c r="V5" s="4" t="s">
        <v>43</v>
      </c>
      <c r="W5" s="4" t="s">
        <v>35</v>
      </c>
      <c r="X5" s="4" t="s">
        <v>35</v>
      </c>
      <c r="Y5" s="4">
        <v>6</v>
      </c>
      <c r="Z5" s="4">
        <v>12</v>
      </c>
      <c r="AA5" s="4">
        <v>0</v>
      </c>
      <c r="AB5" s="4">
        <v>0</v>
      </c>
      <c r="AC5" s="4" t="s">
        <v>155</v>
      </c>
      <c r="AD5" s="4" t="s">
        <v>59</v>
      </c>
      <c r="AE5" s="4">
        <v>1.5</v>
      </c>
      <c r="AF5" s="4">
        <v>50</v>
      </c>
    </row>
    <row r="6" ht="75" spans="1:32">
      <c r="A6" s="4" t="s">
        <v>157</v>
      </c>
      <c r="B6" s="1" t="str">
        <f>_xlfn.DISPIMG("ID_176CC55A3E0A48129ADBE376A18EB4A1",1)</f>
        <v>=DISPIMG("ID_176CC55A3E0A48129ADBE376A18EB4A1",1)</v>
      </c>
      <c r="C6" s="1" t="s">
        <v>154</v>
      </c>
      <c r="D6" s="4">
        <v>60</v>
      </c>
      <c r="E6" s="4">
        <v>0</v>
      </c>
      <c r="F6" s="4">
        <v>0</v>
      </c>
      <c r="G6" s="4">
        <v>0</v>
      </c>
      <c r="H6" s="4">
        <v>0</v>
      </c>
      <c r="I6" s="4">
        <v>110</v>
      </c>
      <c r="J6" s="4" t="s">
        <v>35</v>
      </c>
      <c r="K6" s="4" t="s">
        <v>35</v>
      </c>
      <c r="L6" s="4">
        <v>30</v>
      </c>
      <c r="M6" s="4">
        <v>20</v>
      </c>
      <c r="N6" s="4">
        <v>15</v>
      </c>
      <c r="O6" s="4">
        <v>15</v>
      </c>
      <c r="P6" s="4">
        <v>20</v>
      </c>
      <c r="Q6" s="4">
        <v>15</v>
      </c>
      <c r="R6" s="4">
        <v>0</v>
      </c>
      <c r="S6" s="4">
        <v>0</v>
      </c>
      <c r="T6" s="4">
        <v>0</v>
      </c>
      <c r="U6" s="4" t="s">
        <v>34</v>
      </c>
      <c r="V6" s="4" t="s">
        <v>53</v>
      </c>
      <c r="W6" s="4" t="s">
        <v>35</v>
      </c>
      <c r="X6" s="4" t="s">
        <v>35</v>
      </c>
      <c r="Y6" s="4">
        <v>5</v>
      </c>
      <c r="Z6" s="4">
        <v>14</v>
      </c>
      <c r="AA6" s="4">
        <v>0</v>
      </c>
      <c r="AB6" s="4">
        <v>0</v>
      </c>
      <c r="AC6" s="4" t="s">
        <v>158</v>
      </c>
      <c r="AD6" s="4" t="s">
        <v>150</v>
      </c>
      <c r="AE6" s="4">
        <v>1</v>
      </c>
      <c r="AF6" s="4">
        <v>40</v>
      </c>
    </row>
    <row r="7" ht="75" spans="1:32">
      <c r="A7" s="4" t="s">
        <v>159</v>
      </c>
      <c r="B7" s="1" t="str">
        <f>_xlfn.DISPIMG("ID_BC8A299722F840A39DF912D471BCDD93",1)</f>
        <v>=DISPIMG("ID_BC8A299722F840A39DF912D471BCDD93",1)</v>
      </c>
      <c r="C7" s="1" t="s">
        <v>154</v>
      </c>
      <c r="D7" s="4">
        <v>54</v>
      </c>
      <c r="E7" s="4">
        <v>0</v>
      </c>
      <c r="F7" s="4">
        <v>0</v>
      </c>
      <c r="G7" s="4">
        <v>0</v>
      </c>
      <c r="H7" s="4">
        <v>0</v>
      </c>
      <c r="I7" s="4">
        <v>100</v>
      </c>
      <c r="J7" s="4" t="s">
        <v>35</v>
      </c>
      <c r="K7" s="4" t="s">
        <v>35</v>
      </c>
      <c r="L7" s="4">
        <v>35</v>
      </c>
      <c r="M7" s="4">
        <v>20</v>
      </c>
      <c r="N7" s="4">
        <v>15</v>
      </c>
      <c r="O7" s="4">
        <v>15</v>
      </c>
      <c r="P7" s="4">
        <v>20</v>
      </c>
      <c r="Q7" s="4">
        <v>15</v>
      </c>
      <c r="R7" s="4">
        <v>0</v>
      </c>
      <c r="S7" s="4">
        <v>36</v>
      </c>
      <c r="T7" s="4">
        <v>0</v>
      </c>
      <c r="U7" s="4" t="s">
        <v>34</v>
      </c>
      <c r="V7" s="4" t="s">
        <v>53</v>
      </c>
      <c r="W7" s="4" t="s">
        <v>35</v>
      </c>
      <c r="X7" s="4" t="s">
        <v>35</v>
      </c>
      <c r="Y7" s="4">
        <v>10</v>
      </c>
      <c r="Z7" s="4">
        <v>8</v>
      </c>
      <c r="AA7" s="4">
        <v>0</v>
      </c>
      <c r="AB7" s="4">
        <v>0</v>
      </c>
      <c r="AC7" s="4" t="s">
        <v>155</v>
      </c>
      <c r="AD7" s="4" t="s">
        <v>59</v>
      </c>
      <c r="AE7" s="4">
        <v>2</v>
      </c>
      <c r="AF7" s="4">
        <v>45</v>
      </c>
    </row>
    <row r="8" ht="75" spans="1:32">
      <c r="A8" s="4" t="s">
        <v>160</v>
      </c>
      <c r="B8" s="1" t="str">
        <f>_xlfn.DISPIMG("ID_7E707EA5D1B6439994A2DD5CAED27CC8",1)</f>
        <v>=DISPIMG("ID_7E707EA5D1B6439994A2DD5CAED27CC8",1)</v>
      </c>
      <c r="C8" s="1" t="s">
        <v>154</v>
      </c>
      <c r="D8" s="4">
        <v>62</v>
      </c>
      <c r="E8" s="4">
        <v>0</v>
      </c>
      <c r="F8" s="4">
        <v>0</v>
      </c>
      <c r="G8" s="4">
        <v>0</v>
      </c>
      <c r="H8" s="4">
        <v>0</v>
      </c>
      <c r="I8" s="4">
        <v>100</v>
      </c>
      <c r="J8" s="4" t="s">
        <v>35</v>
      </c>
      <c r="K8" s="4" t="s">
        <v>35</v>
      </c>
      <c r="L8" s="4">
        <v>35</v>
      </c>
      <c r="M8" s="4">
        <v>20</v>
      </c>
      <c r="N8" s="4">
        <v>15</v>
      </c>
      <c r="O8" s="4">
        <v>15</v>
      </c>
      <c r="P8" s="4">
        <v>20</v>
      </c>
      <c r="Q8" s="4">
        <v>15</v>
      </c>
      <c r="R8" s="4">
        <v>0</v>
      </c>
      <c r="S8" s="4">
        <v>0</v>
      </c>
      <c r="T8" s="4">
        <v>0</v>
      </c>
      <c r="U8" s="4" t="s">
        <v>34</v>
      </c>
      <c r="V8" s="4" t="s">
        <v>53</v>
      </c>
      <c r="W8" s="4" t="s">
        <v>35</v>
      </c>
      <c r="X8" s="4" t="s">
        <v>35</v>
      </c>
      <c r="Y8" s="4">
        <v>8</v>
      </c>
      <c r="Z8" s="4">
        <v>10</v>
      </c>
      <c r="AA8" s="4">
        <v>0</v>
      </c>
      <c r="AB8" s="4">
        <v>0</v>
      </c>
      <c r="AC8" s="4" t="s">
        <v>155</v>
      </c>
      <c r="AD8" s="4" t="s">
        <v>59</v>
      </c>
      <c r="AE8" s="4">
        <v>1.5</v>
      </c>
      <c r="AF8" s="4">
        <v>45</v>
      </c>
    </row>
    <row r="9" ht="75" spans="1:32">
      <c r="A9" s="4" t="s">
        <v>161</v>
      </c>
      <c r="B9" s="1" t="str">
        <f>_xlfn.DISPIMG("ID_E981BB12C650458F9E23C4095E3CD909",1)</f>
        <v>=DISPIMG("ID_E981BB12C650458F9E23C4095E3CD909",1)</v>
      </c>
      <c r="C9" s="1" t="s">
        <v>154</v>
      </c>
      <c r="D9" s="4">
        <v>68</v>
      </c>
      <c r="E9" s="4">
        <v>0</v>
      </c>
      <c r="F9" s="4">
        <v>0</v>
      </c>
      <c r="G9" s="4">
        <v>0</v>
      </c>
      <c r="H9" s="4">
        <v>0</v>
      </c>
      <c r="I9" s="4">
        <v>115</v>
      </c>
      <c r="J9" s="4" t="s">
        <v>35</v>
      </c>
      <c r="K9" s="4" t="s">
        <v>35</v>
      </c>
      <c r="L9" s="4">
        <v>35</v>
      </c>
      <c r="M9" s="4">
        <v>20</v>
      </c>
      <c r="N9" s="4">
        <v>15</v>
      </c>
      <c r="O9" s="4">
        <v>15</v>
      </c>
      <c r="P9" s="4">
        <v>20</v>
      </c>
      <c r="Q9" s="4">
        <v>15</v>
      </c>
      <c r="R9" s="4">
        <v>0</v>
      </c>
      <c r="S9" s="4">
        <v>0</v>
      </c>
      <c r="T9" s="4">
        <v>0</v>
      </c>
      <c r="U9" s="4" t="s">
        <v>34</v>
      </c>
      <c r="V9" s="4" t="s">
        <v>53</v>
      </c>
      <c r="W9" s="4" t="s">
        <v>35</v>
      </c>
      <c r="X9" s="4" t="s">
        <v>35</v>
      </c>
      <c r="Y9" s="4">
        <v>7</v>
      </c>
      <c r="Z9" s="4">
        <v>0</v>
      </c>
      <c r="AA9" s="4">
        <v>0</v>
      </c>
      <c r="AB9" s="4">
        <v>16</v>
      </c>
      <c r="AC9" s="4" t="s">
        <v>162</v>
      </c>
      <c r="AD9" s="4" t="s">
        <v>59</v>
      </c>
      <c r="AE9" s="4">
        <v>1.5</v>
      </c>
      <c r="AF9" s="4">
        <v>40</v>
      </c>
    </row>
    <row r="10" ht="75" spans="1:32">
      <c r="A10" s="4" t="s">
        <v>163</v>
      </c>
      <c r="B10" s="1" t="str">
        <f>_xlfn.DISPIMG("ID_B6B918B63E174AD783A3912F7143CF61",1)</f>
        <v>=DISPIMG("ID_B6B918B63E174AD783A3912F7143CF61",1)</v>
      </c>
      <c r="C10" s="1" t="s">
        <v>154</v>
      </c>
      <c r="D10" s="4">
        <v>90</v>
      </c>
      <c r="E10" s="4">
        <v>0</v>
      </c>
      <c r="F10" s="4">
        <v>0</v>
      </c>
      <c r="G10" s="4">
        <v>0</v>
      </c>
      <c r="H10" s="4">
        <v>0</v>
      </c>
      <c r="I10" s="4">
        <v>110</v>
      </c>
      <c r="J10" s="4" t="s">
        <v>35</v>
      </c>
      <c r="K10" s="4" t="s">
        <v>35</v>
      </c>
      <c r="L10" s="4">
        <v>35</v>
      </c>
      <c r="M10" s="4">
        <v>20</v>
      </c>
      <c r="N10" s="4">
        <v>15</v>
      </c>
      <c r="O10" s="4">
        <v>15</v>
      </c>
      <c r="P10" s="4">
        <v>20</v>
      </c>
      <c r="Q10" s="4">
        <v>20</v>
      </c>
      <c r="R10" s="4">
        <v>0</v>
      </c>
      <c r="S10" s="4">
        <v>0</v>
      </c>
      <c r="T10" s="4">
        <v>0</v>
      </c>
      <c r="U10" s="4" t="s">
        <v>34</v>
      </c>
      <c r="V10" s="4" t="s">
        <v>34</v>
      </c>
      <c r="W10" s="4">
        <v>0</v>
      </c>
      <c r="X10" s="4">
        <v>0</v>
      </c>
      <c r="Y10" s="4">
        <v>8</v>
      </c>
      <c r="Z10" s="4">
        <v>14</v>
      </c>
      <c r="AA10" s="4">
        <v>0</v>
      </c>
      <c r="AB10" s="4">
        <v>0</v>
      </c>
      <c r="AC10" s="4" t="s">
        <v>164</v>
      </c>
      <c r="AD10" s="4" t="s">
        <v>65</v>
      </c>
      <c r="AE10" s="4">
        <v>2</v>
      </c>
      <c r="AF10" s="4">
        <v>50</v>
      </c>
    </row>
    <row r="11" ht="75" spans="1:32">
      <c r="A11" s="4" t="s">
        <v>165</v>
      </c>
      <c r="B11" s="1" t="str">
        <f>_xlfn.DISPIMG("ID_300162BFB4B04C39A9F39CF8FEB11C3D",1)</f>
        <v>=DISPIMG("ID_300162BFB4B04C39A9F39CF8FEB11C3D",1)</v>
      </c>
      <c r="C11" s="1" t="s">
        <v>154</v>
      </c>
      <c r="D11" s="4">
        <v>93</v>
      </c>
      <c r="E11" s="4">
        <v>0</v>
      </c>
      <c r="F11" s="4">
        <v>0</v>
      </c>
      <c r="G11" s="4">
        <v>0</v>
      </c>
      <c r="H11" s="4">
        <v>0</v>
      </c>
      <c r="I11" s="4">
        <v>110</v>
      </c>
      <c r="J11" s="4" t="s">
        <v>35</v>
      </c>
      <c r="K11" s="4" t="s">
        <v>35</v>
      </c>
      <c r="L11" s="4">
        <v>40</v>
      </c>
      <c r="M11" s="4">
        <v>25</v>
      </c>
      <c r="N11" s="4">
        <v>20</v>
      </c>
      <c r="O11" s="4">
        <v>20</v>
      </c>
      <c r="P11" s="4">
        <v>25</v>
      </c>
      <c r="Q11" s="4">
        <v>20</v>
      </c>
      <c r="R11" s="4">
        <v>0</v>
      </c>
      <c r="S11" s="4">
        <v>0</v>
      </c>
      <c r="T11" s="4">
        <v>0</v>
      </c>
      <c r="U11" s="4" t="s">
        <v>34</v>
      </c>
      <c r="V11" s="4" t="s">
        <v>34</v>
      </c>
      <c r="W11" s="4" t="s">
        <v>35</v>
      </c>
      <c r="X11" s="4" t="s">
        <v>35</v>
      </c>
      <c r="Y11" s="4">
        <v>12</v>
      </c>
      <c r="Z11" s="4">
        <v>16</v>
      </c>
      <c r="AA11" s="4">
        <v>0</v>
      </c>
      <c r="AB11" s="4">
        <v>0</v>
      </c>
      <c r="AC11" s="4" t="s">
        <v>166</v>
      </c>
      <c r="AD11" s="4" t="s">
        <v>167</v>
      </c>
      <c r="AE11" s="4">
        <v>2.5</v>
      </c>
      <c r="AF11" s="4">
        <v>55</v>
      </c>
    </row>
    <row r="12" ht="75" spans="1:32">
      <c r="A12" s="4" t="s">
        <v>168</v>
      </c>
      <c r="B12" s="1" t="str">
        <f>_xlfn.DISPIMG("ID_9C3B9B495C9B46FB83E4CC114CE4890D",1)</f>
        <v>=DISPIMG("ID_9C3B9B495C9B46FB83E4CC114CE4890D",1)</v>
      </c>
      <c r="C12" s="1" t="s">
        <v>154</v>
      </c>
      <c r="D12" s="4">
        <v>85</v>
      </c>
      <c r="E12" s="4">
        <v>0</v>
      </c>
      <c r="F12" s="4">
        <v>0</v>
      </c>
      <c r="G12" s="4">
        <v>0</v>
      </c>
      <c r="H12" s="4">
        <v>0</v>
      </c>
      <c r="I12" s="4">
        <v>110</v>
      </c>
      <c r="J12" s="4" t="s">
        <v>35</v>
      </c>
      <c r="K12" s="4" t="s">
        <v>35</v>
      </c>
      <c r="L12" s="4">
        <v>30</v>
      </c>
      <c r="M12" s="4">
        <v>20</v>
      </c>
      <c r="N12" s="4">
        <v>15</v>
      </c>
      <c r="O12" s="4">
        <v>15</v>
      </c>
      <c r="P12" s="4">
        <v>20</v>
      </c>
      <c r="Q12" s="4">
        <v>15</v>
      </c>
      <c r="R12" s="4">
        <v>0</v>
      </c>
      <c r="S12" s="4">
        <v>0</v>
      </c>
      <c r="T12" s="4">
        <v>0</v>
      </c>
      <c r="U12" s="4" t="s">
        <v>34</v>
      </c>
      <c r="V12" s="4" t="s">
        <v>34</v>
      </c>
      <c r="W12" s="4" t="s">
        <v>35</v>
      </c>
      <c r="X12" s="4" t="s">
        <v>35</v>
      </c>
      <c r="Y12" s="4">
        <v>4</v>
      </c>
      <c r="Z12" s="4">
        <v>8</v>
      </c>
      <c r="AA12" s="4">
        <v>0</v>
      </c>
      <c r="AB12" s="4">
        <v>0</v>
      </c>
      <c r="AC12" s="4" t="s">
        <v>166</v>
      </c>
      <c r="AD12" s="4" t="s">
        <v>167</v>
      </c>
      <c r="AE12" s="4">
        <v>0.5</v>
      </c>
      <c r="AF12" s="4">
        <v>40</v>
      </c>
    </row>
    <row r="13" ht="75" spans="1:32">
      <c r="A13" s="4" t="s">
        <v>169</v>
      </c>
      <c r="B13" s="1" t="str">
        <f>_xlfn.DISPIMG("ID_FF894D27DF1344FBA49A329B0B105A69",1)</f>
        <v>=DISPIMG("ID_FF894D27DF1344FBA49A329B0B105A69",1)</v>
      </c>
      <c r="C13" s="1" t="s">
        <v>154</v>
      </c>
      <c r="D13" s="4">
        <v>89</v>
      </c>
      <c r="E13" s="4">
        <v>0</v>
      </c>
      <c r="F13" s="4">
        <v>0</v>
      </c>
      <c r="G13" s="4">
        <v>0</v>
      </c>
      <c r="H13" s="4">
        <v>0</v>
      </c>
      <c r="I13" s="4">
        <v>125</v>
      </c>
      <c r="J13" s="4" t="s">
        <v>35</v>
      </c>
      <c r="K13" s="4" t="s">
        <v>35</v>
      </c>
      <c r="L13" s="4">
        <v>35</v>
      </c>
      <c r="M13" s="4">
        <v>20</v>
      </c>
      <c r="N13" s="4">
        <v>15</v>
      </c>
      <c r="O13" s="4">
        <v>15</v>
      </c>
      <c r="P13" s="4">
        <v>20</v>
      </c>
      <c r="Q13" s="4">
        <v>15</v>
      </c>
      <c r="R13" s="4">
        <v>0</v>
      </c>
      <c r="S13" s="4">
        <v>0</v>
      </c>
      <c r="T13" s="4">
        <v>0</v>
      </c>
      <c r="U13" s="4" t="s">
        <v>34</v>
      </c>
      <c r="V13" s="4" t="s">
        <v>43</v>
      </c>
      <c r="W13" s="4" t="s">
        <v>35</v>
      </c>
      <c r="X13" s="4" t="s">
        <v>35</v>
      </c>
      <c r="Y13" s="4">
        <v>7</v>
      </c>
      <c r="Z13" s="4">
        <v>12</v>
      </c>
      <c r="AA13" s="4">
        <v>0</v>
      </c>
      <c r="AB13" s="4">
        <v>0</v>
      </c>
      <c r="AC13" s="4" t="s">
        <v>170</v>
      </c>
      <c r="AD13" s="4" t="s">
        <v>62</v>
      </c>
      <c r="AE13" s="4">
        <v>1.5</v>
      </c>
      <c r="AF13" s="4">
        <v>50</v>
      </c>
    </row>
    <row r="14" ht="75" spans="1:32">
      <c r="A14" s="4" t="s">
        <v>171</v>
      </c>
      <c r="B14" s="1" t="str">
        <f>_xlfn.DISPIMG("ID_BC18123152C644058D99E1C83B4CAC97",1)</f>
        <v>=DISPIMG("ID_BC18123152C644058D99E1C83B4CAC97",1)</v>
      </c>
      <c r="C14" s="1" t="s">
        <v>154</v>
      </c>
      <c r="D14" s="4">
        <v>67</v>
      </c>
      <c r="E14" s="4">
        <v>0</v>
      </c>
      <c r="F14" s="4">
        <v>0</v>
      </c>
      <c r="G14" s="4">
        <v>0</v>
      </c>
      <c r="H14" s="4">
        <v>0</v>
      </c>
      <c r="I14" s="4">
        <v>125</v>
      </c>
      <c r="J14" s="4" t="s">
        <v>35</v>
      </c>
      <c r="K14" s="4" t="s">
        <v>35</v>
      </c>
      <c r="L14" s="4">
        <v>35</v>
      </c>
      <c r="M14" s="4">
        <v>20</v>
      </c>
      <c r="N14" s="4">
        <v>15</v>
      </c>
      <c r="O14" s="4">
        <v>15</v>
      </c>
      <c r="P14" s="4">
        <v>20</v>
      </c>
      <c r="Q14" s="4">
        <v>15</v>
      </c>
      <c r="R14" s="4">
        <v>0</v>
      </c>
      <c r="S14" s="4">
        <v>0</v>
      </c>
      <c r="T14" s="4">
        <v>0</v>
      </c>
      <c r="U14" s="4" t="s">
        <v>43</v>
      </c>
      <c r="V14" s="4" t="s">
        <v>43</v>
      </c>
      <c r="W14" s="4" t="s">
        <v>35</v>
      </c>
      <c r="X14" s="4" t="s">
        <v>35</v>
      </c>
      <c r="Y14" s="4">
        <v>10</v>
      </c>
      <c r="Z14" s="4">
        <v>18</v>
      </c>
      <c r="AA14" s="4">
        <v>0</v>
      </c>
      <c r="AB14" s="4">
        <v>0</v>
      </c>
      <c r="AC14" s="4" t="s">
        <v>155</v>
      </c>
      <c r="AD14" s="4" t="s">
        <v>59</v>
      </c>
      <c r="AE14" s="4">
        <v>2.5</v>
      </c>
      <c r="AF14" s="4">
        <v>50</v>
      </c>
    </row>
    <row r="15" ht="75" spans="1:32">
      <c r="A15" s="4" t="s">
        <v>172</v>
      </c>
      <c r="B15" s="1" t="str">
        <f>_xlfn.DISPIMG("ID_8B1FD2D0B6B749E1BBA8283321A0A75B",1)</f>
        <v>=DISPIMG("ID_8B1FD2D0B6B749E1BBA8283321A0A75B",1)</v>
      </c>
      <c r="C15" s="1" t="s">
        <v>154</v>
      </c>
      <c r="D15" s="4">
        <v>67</v>
      </c>
      <c r="E15" s="4">
        <v>67</v>
      </c>
      <c r="F15" s="4">
        <v>0</v>
      </c>
      <c r="G15" s="4">
        <v>0</v>
      </c>
      <c r="H15" s="4">
        <v>0</v>
      </c>
      <c r="I15" s="4">
        <v>100</v>
      </c>
      <c r="J15" s="4" t="s">
        <v>35</v>
      </c>
      <c r="K15" s="4" t="s">
        <v>35</v>
      </c>
      <c r="L15" s="4">
        <v>35</v>
      </c>
      <c r="M15" s="4">
        <v>20</v>
      </c>
      <c r="N15" s="4">
        <v>15</v>
      </c>
      <c r="O15" s="4">
        <v>15</v>
      </c>
      <c r="P15" s="4">
        <v>20</v>
      </c>
      <c r="Q15" s="4">
        <v>15</v>
      </c>
      <c r="R15" s="4">
        <v>0</v>
      </c>
      <c r="S15" s="4">
        <v>0</v>
      </c>
      <c r="T15" s="4">
        <v>0</v>
      </c>
      <c r="U15" s="4" t="s">
        <v>34</v>
      </c>
      <c r="V15" s="4" t="s">
        <v>43</v>
      </c>
      <c r="W15" s="4" t="s">
        <v>43</v>
      </c>
      <c r="X15" s="4" t="s">
        <v>35</v>
      </c>
      <c r="Y15" s="4">
        <v>5</v>
      </c>
      <c r="Z15" s="4">
        <v>14</v>
      </c>
      <c r="AA15" s="4">
        <v>18</v>
      </c>
      <c r="AB15" s="4">
        <v>0</v>
      </c>
      <c r="AC15" s="4" t="s">
        <v>173</v>
      </c>
      <c r="AD15" s="4" t="s">
        <v>174</v>
      </c>
      <c r="AE15" s="4">
        <v>1.5</v>
      </c>
      <c r="AF15" s="4">
        <v>50</v>
      </c>
    </row>
    <row r="16" ht="75" spans="1:32">
      <c r="A16" s="4" t="s">
        <v>175</v>
      </c>
      <c r="B16" s="1" t="str">
        <f>_xlfn.DISPIMG("ID_3F0C8BC82FBB4137B3B807EE72E16973",1)</f>
        <v>=DISPIMG("ID_3F0C8BC82FBB4137B3B807EE72E16973",1)</v>
      </c>
      <c r="C16" s="1" t="s">
        <v>154</v>
      </c>
      <c r="D16" s="4">
        <v>72</v>
      </c>
      <c r="E16" s="4">
        <v>0</v>
      </c>
      <c r="F16" s="4">
        <v>0</v>
      </c>
      <c r="G16" s="4">
        <v>0</v>
      </c>
      <c r="H16" s="4">
        <v>22</v>
      </c>
      <c r="I16" s="4">
        <v>100</v>
      </c>
      <c r="J16" s="4" t="s">
        <v>35</v>
      </c>
      <c r="K16" s="4" t="s">
        <v>35</v>
      </c>
      <c r="L16" s="4">
        <v>35</v>
      </c>
      <c r="M16" s="4">
        <v>20</v>
      </c>
      <c r="N16" s="4">
        <v>15</v>
      </c>
      <c r="O16" s="4">
        <v>15</v>
      </c>
      <c r="P16" s="4">
        <v>20</v>
      </c>
      <c r="Q16" s="4">
        <v>15</v>
      </c>
      <c r="R16" s="4">
        <v>0</v>
      </c>
      <c r="S16" s="4">
        <v>0</v>
      </c>
      <c r="T16" s="4">
        <v>0</v>
      </c>
      <c r="U16" s="4" t="s">
        <v>43</v>
      </c>
      <c r="V16" s="4" t="s">
        <v>43</v>
      </c>
      <c r="W16" s="4" t="s">
        <v>34</v>
      </c>
      <c r="X16" s="4" t="s">
        <v>34</v>
      </c>
      <c r="Y16" s="4">
        <v>6</v>
      </c>
      <c r="Z16" s="4">
        <v>11</v>
      </c>
      <c r="AA16" s="4">
        <v>11</v>
      </c>
      <c r="AB16" s="4">
        <v>11</v>
      </c>
      <c r="AC16" s="4" t="s">
        <v>155</v>
      </c>
      <c r="AD16" s="4" t="s">
        <v>59</v>
      </c>
      <c r="AE16" s="4">
        <v>2</v>
      </c>
      <c r="AF16" s="4">
        <v>50</v>
      </c>
    </row>
    <row r="17" ht="75" spans="1:32">
      <c r="A17" s="4" t="s">
        <v>154</v>
      </c>
      <c r="B17" s="1" t="str">
        <f>_xlfn.DISPIMG("ID_0062A73A9D644C8A893C1C585F8AB0C4",1)</f>
        <v>=DISPIMG("ID_0062A73A9D644C8A893C1C585F8AB0C4",1)</v>
      </c>
      <c r="C17" s="1" t="s">
        <v>176</v>
      </c>
      <c r="D17" s="4">
        <v>99</v>
      </c>
      <c r="E17" s="4">
        <v>0</v>
      </c>
      <c r="F17" s="4">
        <v>0</v>
      </c>
      <c r="G17" s="4">
        <v>0</v>
      </c>
      <c r="H17" s="4">
        <v>0</v>
      </c>
      <c r="I17" s="4">
        <v>110</v>
      </c>
      <c r="J17" s="4" t="s">
        <v>35</v>
      </c>
      <c r="K17" s="4" t="s">
        <v>35</v>
      </c>
      <c r="L17" s="4">
        <v>45</v>
      </c>
      <c r="M17" s="4">
        <v>30</v>
      </c>
      <c r="N17" s="4">
        <v>25</v>
      </c>
      <c r="O17" s="4">
        <v>25</v>
      </c>
      <c r="P17" s="4">
        <v>30</v>
      </c>
      <c r="Q17" s="4">
        <v>30</v>
      </c>
      <c r="R17" s="4">
        <v>0</v>
      </c>
      <c r="S17" s="4">
        <v>0</v>
      </c>
      <c r="T17" s="4">
        <v>0</v>
      </c>
      <c r="U17" s="4" t="s">
        <v>43</v>
      </c>
      <c r="V17" s="4" t="s">
        <v>53</v>
      </c>
      <c r="W17" s="4" t="s">
        <v>35</v>
      </c>
      <c r="X17" s="4" t="s">
        <v>35</v>
      </c>
      <c r="Y17" s="4">
        <v>8</v>
      </c>
      <c r="Z17" s="4">
        <v>10</v>
      </c>
      <c r="AA17" s="4">
        <v>0</v>
      </c>
      <c r="AB17" s="4">
        <v>0</v>
      </c>
      <c r="AC17" s="4" t="s">
        <v>177</v>
      </c>
      <c r="AD17" s="4">
        <f t="shared" ref="AD17:AD21" si="0">-(17/20)</f>
        <v>-0.85</v>
      </c>
      <c r="AE17" s="4">
        <v>2</v>
      </c>
      <c r="AF17" s="4">
        <v>65</v>
      </c>
    </row>
    <row r="18" ht="75" spans="1:32">
      <c r="A18" s="4" t="s">
        <v>178</v>
      </c>
      <c r="B18" s="1" t="str">
        <f>_xlfn.DISPIMG("ID_8D897703C6D14E35B8FCEA00BFB12379",1)</f>
        <v>=DISPIMG("ID_8D897703C6D14E35B8FCEA00BFB12379",1)</v>
      </c>
      <c r="C18" s="1" t="s">
        <v>176</v>
      </c>
      <c r="D18" s="4">
        <v>110</v>
      </c>
      <c r="E18" s="4">
        <v>0</v>
      </c>
      <c r="F18" s="4">
        <v>0</v>
      </c>
      <c r="G18" s="4">
        <v>0</v>
      </c>
      <c r="H18" s="4">
        <v>0</v>
      </c>
      <c r="I18" s="4">
        <v>100</v>
      </c>
      <c r="J18" s="4" t="s">
        <v>35</v>
      </c>
      <c r="K18" s="4" t="s">
        <v>35</v>
      </c>
      <c r="L18" s="4">
        <v>45</v>
      </c>
      <c r="M18" s="4">
        <v>30</v>
      </c>
      <c r="N18" s="4">
        <v>25</v>
      </c>
      <c r="O18" s="4">
        <v>25</v>
      </c>
      <c r="P18" s="4">
        <v>30</v>
      </c>
      <c r="Q18" s="4">
        <v>30</v>
      </c>
      <c r="R18" s="4">
        <v>0</v>
      </c>
      <c r="S18" s="4">
        <v>0</v>
      </c>
      <c r="T18" s="4">
        <v>0</v>
      </c>
      <c r="U18" s="4" t="s">
        <v>43</v>
      </c>
      <c r="V18" s="4" t="s">
        <v>43</v>
      </c>
      <c r="W18" s="4" t="s">
        <v>35</v>
      </c>
      <c r="X18" s="4" t="s">
        <v>35</v>
      </c>
      <c r="Y18" s="4">
        <v>10</v>
      </c>
      <c r="Z18" s="4">
        <v>10</v>
      </c>
      <c r="AA18" s="4">
        <v>0</v>
      </c>
      <c r="AB18" s="4">
        <v>0</v>
      </c>
      <c r="AC18" s="4" t="s">
        <v>177</v>
      </c>
      <c r="AD18" s="4">
        <f t="shared" si="0"/>
        <v>-0.85</v>
      </c>
      <c r="AE18" s="4">
        <v>3</v>
      </c>
      <c r="AF18" s="4">
        <v>70</v>
      </c>
    </row>
    <row r="19" ht="75" spans="1:32">
      <c r="A19" s="4" t="s">
        <v>179</v>
      </c>
      <c r="B19" s="1" t="str">
        <f>_xlfn.DISPIMG("ID_F79D42F1F7EE4428B29B7CC633D1CBF0",1)</f>
        <v>=DISPIMG("ID_F79D42F1F7EE4428B29B7CC633D1CBF0",1)</v>
      </c>
      <c r="C19" s="1" t="s">
        <v>176</v>
      </c>
      <c r="D19" s="4">
        <v>117</v>
      </c>
      <c r="E19" s="4">
        <v>0</v>
      </c>
      <c r="F19" s="4">
        <v>0</v>
      </c>
      <c r="G19" s="4">
        <v>0</v>
      </c>
      <c r="H19" s="4">
        <v>0</v>
      </c>
      <c r="I19" s="4">
        <v>100</v>
      </c>
      <c r="J19" s="4" t="s">
        <v>35</v>
      </c>
      <c r="K19" s="4" t="s">
        <v>35</v>
      </c>
      <c r="L19" s="4">
        <v>45</v>
      </c>
      <c r="M19" s="4">
        <v>30</v>
      </c>
      <c r="N19" s="4">
        <v>25</v>
      </c>
      <c r="O19" s="4">
        <v>25</v>
      </c>
      <c r="P19" s="4">
        <v>30</v>
      </c>
      <c r="Q19" s="4">
        <v>30</v>
      </c>
      <c r="R19" s="4">
        <v>0</v>
      </c>
      <c r="S19" s="4">
        <v>0</v>
      </c>
      <c r="T19" s="4">
        <v>0</v>
      </c>
      <c r="U19" s="4" t="s">
        <v>53</v>
      </c>
      <c r="V19" s="4" t="s">
        <v>43</v>
      </c>
      <c r="W19" s="4" t="s">
        <v>35</v>
      </c>
      <c r="X19" s="4" t="s">
        <v>35</v>
      </c>
      <c r="Y19" s="4">
        <v>10</v>
      </c>
      <c r="Z19" s="4">
        <v>10</v>
      </c>
      <c r="AA19" s="4">
        <v>0</v>
      </c>
      <c r="AB19" s="4">
        <v>0</v>
      </c>
      <c r="AC19" s="4" t="s">
        <v>177</v>
      </c>
      <c r="AD19" s="4">
        <f t="shared" si="0"/>
        <v>-0.85</v>
      </c>
      <c r="AE19" s="4">
        <v>3</v>
      </c>
      <c r="AF19" s="4">
        <v>80</v>
      </c>
    </row>
    <row r="20" ht="75" spans="1:32">
      <c r="A20" s="4" t="s">
        <v>180</v>
      </c>
      <c r="B20" s="1" t="str">
        <f>_xlfn.DISPIMG("ID_0B0484F1013746B3B2519BBEFC4588F4",1)</f>
        <v>=DISPIMG("ID_0B0484F1013746B3B2519BBEFC4588F4",1)</v>
      </c>
      <c r="C20" s="1" t="s">
        <v>176</v>
      </c>
      <c r="D20" s="4">
        <v>70</v>
      </c>
      <c r="E20" s="4">
        <v>0</v>
      </c>
      <c r="F20" s="4">
        <v>0</v>
      </c>
      <c r="G20" s="4">
        <v>0</v>
      </c>
      <c r="H20" s="4">
        <v>0</v>
      </c>
      <c r="I20" s="4">
        <v>100</v>
      </c>
      <c r="J20" s="4" t="s">
        <v>35</v>
      </c>
      <c r="K20" s="4" t="s">
        <v>35</v>
      </c>
      <c r="L20" s="4">
        <v>40</v>
      </c>
      <c r="M20" s="4">
        <v>25</v>
      </c>
      <c r="N20" s="4">
        <v>20</v>
      </c>
      <c r="O20" s="4">
        <v>20</v>
      </c>
      <c r="P20" s="4">
        <v>25</v>
      </c>
      <c r="Q20" s="4">
        <v>30</v>
      </c>
      <c r="R20" s="4">
        <v>0</v>
      </c>
      <c r="S20" s="4">
        <v>0</v>
      </c>
      <c r="T20" s="4">
        <v>0</v>
      </c>
      <c r="U20" s="4" t="s">
        <v>43</v>
      </c>
      <c r="V20" s="4" t="s">
        <v>43</v>
      </c>
      <c r="W20" s="4" t="s">
        <v>35</v>
      </c>
      <c r="X20" s="4" t="s">
        <v>35</v>
      </c>
      <c r="Y20" s="4">
        <v>8</v>
      </c>
      <c r="Z20" s="4">
        <v>8</v>
      </c>
      <c r="AA20" s="4">
        <v>0</v>
      </c>
      <c r="AB20" s="4">
        <v>0</v>
      </c>
      <c r="AC20" s="4" t="s">
        <v>177</v>
      </c>
      <c r="AD20" s="4">
        <f t="shared" si="0"/>
        <v>-0.85</v>
      </c>
      <c r="AE20" s="4">
        <v>1</v>
      </c>
      <c r="AF20" s="4">
        <v>30</v>
      </c>
    </row>
    <row r="21" ht="75" spans="1:32">
      <c r="A21" s="4" t="s">
        <v>181</v>
      </c>
      <c r="B21" s="1" t="str">
        <f>_xlfn.DISPIMG("ID_A0B67804F64C483CBB2B76548B8180B6",1)</f>
        <v>=DISPIMG("ID_A0B67804F64C483CBB2B76548B8180B6",1)</v>
      </c>
      <c r="C21" s="1" t="s">
        <v>176</v>
      </c>
      <c r="D21" s="4">
        <v>103</v>
      </c>
      <c r="E21" s="4">
        <v>0</v>
      </c>
      <c r="F21" s="4">
        <v>0</v>
      </c>
      <c r="G21" s="4">
        <v>0</v>
      </c>
      <c r="H21" s="4">
        <v>0</v>
      </c>
      <c r="I21" s="4">
        <v>110</v>
      </c>
      <c r="J21" s="4" t="s">
        <v>35</v>
      </c>
      <c r="K21" s="4" t="s">
        <v>35</v>
      </c>
      <c r="L21" s="4">
        <v>45</v>
      </c>
      <c r="M21" s="4">
        <v>35</v>
      </c>
      <c r="N21" s="4">
        <v>25</v>
      </c>
      <c r="O21" s="4">
        <v>25</v>
      </c>
      <c r="P21" s="4">
        <v>35</v>
      </c>
      <c r="Q21" s="4">
        <v>35</v>
      </c>
      <c r="R21" s="4">
        <v>0</v>
      </c>
      <c r="S21" s="4">
        <v>0</v>
      </c>
      <c r="T21" s="4">
        <v>0</v>
      </c>
      <c r="U21" s="4" t="s">
        <v>43</v>
      </c>
      <c r="V21" s="4" t="s">
        <v>43</v>
      </c>
      <c r="W21" s="4" t="s">
        <v>35</v>
      </c>
      <c r="X21" s="4" t="s">
        <v>35</v>
      </c>
      <c r="Y21" s="4">
        <v>11</v>
      </c>
      <c r="Z21" s="4">
        <v>18</v>
      </c>
      <c r="AA21" s="4">
        <v>0</v>
      </c>
      <c r="AB21" s="4">
        <v>0</v>
      </c>
      <c r="AC21" s="4" t="s">
        <v>177</v>
      </c>
      <c r="AD21" s="4">
        <f t="shared" si="0"/>
        <v>-0.85</v>
      </c>
      <c r="AE21" s="4">
        <v>4</v>
      </c>
      <c r="AF21" s="4">
        <v>80</v>
      </c>
    </row>
    <row r="22" ht="75" spans="1:32">
      <c r="A22" s="4" t="s">
        <v>182</v>
      </c>
      <c r="B22" s="1" t="str">
        <f>_xlfn.DISPIMG("ID_127B8BFB813A49C88C8C1307E1CC6DBF",1)</f>
        <v>=DISPIMG("ID_127B8BFB813A49C88C8C1307E1CC6DBF",1)</v>
      </c>
      <c r="C22" s="1" t="s">
        <v>176</v>
      </c>
      <c r="D22" s="4">
        <v>112</v>
      </c>
      <c r="E22" s="4">
        <v>0</v>
      </c>
      <c r="F22" s="4">
        <v>0</v>
      </c>
      <c r="G22" s="4">
        <v>0</v>
      </c>
      <c r="H22" s="4">
        <v>0</v>
      </c>
      <c r="I22" s="4">
        <v>100</v>
      </c>
      <c r="J22" s="4" t="s">
        <v>35</v>
      </c>
      <c r="K22" s="4" t="s">
        <v>35</v>
      </c>
      <c r="L22" s="4">
        <v>45</v>
      </c>
      <c r="M22" s="4">
        <v>30</v>
      </c>
      <c r="N22" s="4">
        <v>25</v>
      </c>
      <c r="O22" s="4">
        <v>25</v>
      </c>
      <c r="P22" s="4">
        <v>30</v>
      </c>
      <c r="Q22" s="4">
        <v>30</v>
      </c>
      <c r="R22" s="4">
        <v>0</v>
      </c>
      <c r="S22" s="4">
        <v>0</v>
      </c>
      <c r="T22" s="4">
        <v>0</v>
      </c>
      <c r="U22" s="4" t="s">
        <v>43</v>
      </c>
      <c r="V22" s="4" t="s">
        <v>43</v>
      </c>
      <c r="W22" s="4" t="s">
        <v>35</v>
      </c>
      <c r="X22" s="4" t="s">
        <v>53</v>
      </c>
      <c r="Y22" s="4">
        <v>12</v>
      </c>
      <c r="Z22" s="4">
        <v>12</v>
      </c>
      <c r="AA22" s="4">
        <v>0</v>
      </c>
      <c r="AB22" s="4">
        <v>16</v>
      </c>
      <c r="AC22" s="4" t="s">
        <v>183</v>
      </c>
      <c r="AD22" s="4" t="s">
        <v>184</v>
      </c>
      <c r="AE22" s="4">
        <v>3</v>
      </c>
      <c r="AF22" s="4">
        <v>70</v>
      </c>
    </row>
    <row r="23" ht="75" spans="1:32">
      <c r="A23" s="4" t="s">
        <v>185</v>
      </c>
      <c r="B23" s="1" t="str">
        <f>_xlfn.DISPIMG("ID_77A245BF5F1C43D29B02FB058E0045CA",1)</f>
        <v>=DISPIMG("ID_77A245BF5F1C43D29B02FB058E0045CA",1)</v>
      </c>
      <c r="C23" s="1" t="s">
        <v>176</v>
      </c>
      <c r="D23" s="4">
        <v>124</v>
      </c>
      <c r="E23" s="4">
        <v>0</v>
      </c>
      <c r="F23" s="4">
        <v>0</v>
      </c>
      <c r="G23" s="4">
        <v>0</v>
      </c>
      <c r="H23" s="4">
        <v>0</v>
      </c>
      <c r="I23" s="4">
        <v>100</v>
      </c>
      <c r="J23" s="4" t="s">
        <v>35</v>
      </c>
      <c r="K23" s="4" t="s">
        <v>35</v>
      </c>
      <c r="L23" s="4">
        <v>50</v>
      </c>
      <c r="M23" s="4">
        <v>35</v>
      </c>
      <c r="N23" s="4">
        <v>30</v>
      </c>
      <c r="O23" s="4">
        <v>30</v>
      </c>
      <c r="P23" s="4">
        <v>35</v>
      </c>
      <c r="Q23" s="4">
        <v>35</v>
      </c>
      <c r="R23" s="4">
        <v>0</v>
      </c>
      <c r="S23" s="4">
        <v>0</v>
      </c>
      <c r="T23" s="4">
        <v>55</v>
      </c>
      <c r="U23" s="4" t="s">
        <v>43</v>
      </c>
      <c r="V23" s="4" t="s">
        <v>43</v>
      </c>
      <c r="W23" s="4" t="s">
        <v>35</v>
      </c>
      <c r="X23" s="4" t="s">
        <v>35</v>
      </c>
      <c r="Y23" s="4">
        <v>12</v>
      </c>
      <c r="Z23" s="4">
        <v>14</v>
      </c>
      <c r="AA23" s="4">
        <v>0</v>
      </c>
      <c r="AB23" s="4">
        <v>0</v>
      </c>
      <c r="AC23" s="4" t="s">
        <v>177</v>
      </c>
      <c r="AD23" s="4">
        <f t="shared" ref="AD23:AD27" si="1">-(17/20)</f>
        <v>-0.85</v>
      </c>
      <c r="AE23" s="4">
        <v>4</v>
      </c>
      <c r="AF23" s="4">
        <v>80</v>
      </c>
    </row>
    <row r="24" ht="75" spans="1:32">
      <c r="A24" s="4" t="s">
        <v>186</v>
      </c>
      <c r="B24" s="1" t="str">
        <f>_xlfn.DISPIMG("ID_E7C08688AE6A40C6AAA273E58589E855",1)</f>
        <v>=DISPIMG("ID_E7C08688AE6A40C6AAA273E58589E855",1)</v>
      </c>
      <c r="C24" s="1" t="s">
        <v>176</v>
      </c>
      <c r="D24" s="4">
        <v>70</v>
      </c>
      <c r="E24" s="4">
        <v>77</v>
      </c>
      <c r="F24" s="4">
        <v>0</v>
      </c>
      <c r="G24" s="4">
        <v>0</v>
      </c>
      <c r="H24" s="4">
        <v>0</v>
      </c>
      <c r="I24" s="4">
        <v>100</v>
      </c>
      <c r="J24" s="4">
        <v>100</v>
      </c>
      <c r="K24" s="4" t="s">
        <v>35</v>
      </c>
      <c r="L24" s="4">
        <v>40</v>
      </c>
      <c r="M24" s="4">
        <v>30</v>
      </c>
      <c r="N24" s="4">
        <v>25</v>
      </c>
      <c r="O24" s="4">
        <v>25</v>
      </c>
      <c r="P24" s="4">
        <v>30</v>
      </c>
      <c r="Q24" s="4">
        <v>30</v>
      </c>
      <c r="R24" s="4">
        <v>0</v>
      </c>
      <c r="S24" s="4">
        <v>0</v>
      </c>
      <c r="T24" s="4">
        <v>0</v>
      </c>
      <c r="U24" s="4" t="s">
        <v>43</v>
      </c>
      <c r="V24" s="4" t="s">
        <v>43</v>
      </c>
      <c r="W24" s="4" t="s">
        <v>53</v>
      </c>
      <c r="X24" s="4" t="s">
        <v>35</v>
      </c>
      <c r="Y24" s="4">
        <v>8</v>
      </c>
      <c r="Z24" s="4">
        <v>12</v>
      </c>
      <c r="AA24" s="4">
        <v>0</v>
      </c>
      <c r="AB24" s="4">
        <v>12</v>
      </c>
      <c r="AC24" s="4" t="s">
        <v>162</v>
      </c>
      <c r="AD24" s="4" t="s">
        <v>59</v>
      </c>
      <c r="AE24" s="4">
        <v>2</v>
      </c>
      <c r="AF24" s="4">
        <v>65</v>
      </c>
    </row>
    <row r="25" ht="75" spans="1:32">
      <c r="A25" s="4" t="s">
        <v>187</v>
      </c>
      <c r="B25" s="1" t="str">
        <f>_xlfn.DISPIMG("ID_24775F8850934EB19E7E881BE7A4016F",1)</f>
        <v>=DISPIMG("ID_24775F8850934EB19E7E881BE7A4016F",1)</v>
      </c>
      <c r="C25" s="1" t="s">
        <v>176</v>
      </c>
      <c r="D25" s="4">
        <v>131</v>
      </c>
      <c r="E25" s="4">
        <v>0</v>
      </c>
      <c r="F25" s="4">
        <v>0</v>
      </c>
      <c r="G25" s="4">
        <v>0</v>
      </c>
      <c r="H25" s="4">
        <v>0</v>
      </c>
      <c r="I25" s="4">
        <v>100</v>
      </c>
      <c r="J25" s="4" t="s">
        <v>35</v>
      </c>
      <c r="K25" s="4" t="s">
        <v>35</v>
      </c>
      <c r="L25" s="4">
        <v>45</v>
      </c>
      <c r="M25" s="4">
        <v>35</v>
      </c>
      <c r="N25" s="4">
        <v>25</v>
      </c>
      <c r="O25" s="4">
        <v>25</v>
      </c>
      <c r="P25" s="4">
        <v>35</v>
      </c>
      <c r="Q25" s="4">
        <v>35</v>
      </c>
      <c r="R25" s="4">
        <v>34</v>
      </c>
      <c r="S25" s="4">
        <v>0</v>
      </c>
      <c r="T25" s="4">
        <v>0</v>
      </c>
      <c r="U25" s="4" t="s">
        <v>43</v>
      </c>
      <c r="V25" s="4" t="s">
        <v>43</v>
      </c>
      <c r="W25" s="4" t="s">
        <v>35</v>
      </c>
      <c r="X25" s="4" t="s">
        <v>35</v>
      </c>
      <c r="Y25" s="4">
        <v>12</v>
      </c>
      <c r="Z25" s="4">
        <v>17</v>
      </c>
      <c r="AA25" s="4" t="s">
        <v>35</v>
      </c>
      <c r="AB25" s="4" t="s">
        <v>35</v>
      </c>
      <c r="AC25" s="4" t="s">
        <v>177</v>
      </c>
      <c r="AD25" s="4">
        <f t="shared" si="1"/>
        <v>-0.85</v>
      </c>
      <c r="AE25" s="4">
        <v>4</v>
      </c>
      <c r="AF25" s="4">
        <v>80</v>
      </c>
    </row>
    <row r="26" ht="75" spans="1:32">
      <c r="A26" s="4" t="s">
        <v>188</v>
      </c>
      <c r="B26" s="1" t="str">
        <f>_xlfn.DISPIMG("ID_EC3C0D1C5D744EBB9C7ED6F2D409CB8F",1)</f>
        <v>=DISPIMG("ID_EC3C0D1C5D744EBB9C7ED6F2D409CB8F",1)</v>
      </c>
      <c r="C26" s="1" t="s">
        <v>176</v>
      </c>
      <c r="D26" s="4">
        <v>129</v>
      </c>
      <c r="E26" s="4">
        <v>0</v>
      </c>
      <c r="F26" s="4">
        <v>0</v>
      </c>
      <c r="G26" s="4">
        <v>0</v>
      </c>
      <c r="H26" s="4">
        <v>0</v>
      </c>
      <c r="I26" s="4">
        <v>100</v>
      </c>
      <c r="J26" s="4" t="s">
        <v>35</v>
      </c>
      <c r="K26" s="4" t="s">
        <v>35</v>
      </c>
      <c r="L26" s="4">
        <v>45</v>
      </c>
      <c r="M26" s="4">
        <v>30</v>
      </c>
      <c r="N26" s="4">
        <v>25</v>
      </c>
      <c r="O26" s="4">
        <v>25</v>
      </c>
      <c r="P26" s="4">
        <v>30</v>
      </c>
      <c r="Q26" s="4">
        <v>30</v>
      </c>
      <c r="R26" s="4">
        <v>0</v>
      </c>
      <c r="S26" s="4">
        <v>0</v>
      </c>
      <c r="T26" s="4">
        <v>0</v>
      </c>
      <c r="U26" s="4" t="s">
        <v>43</v>
      </c>
      <c r="V26" s="4" t="s">
        <v>34</v>
      </c>
      <c r="W26" s="4" t="s">
        <v>35</v>
      </c>
      <c r="X26" s="4" t="s">
        <v>35</v>
      </c>
      <c r="Y26" s="4">
        <v>10</v>
      </c>
      <c r="Z26" s="4">
        <v>10</v>
      </c>
      <c r="AA26" s="4">
        <v>0</v>
      </c>
      <c r="AB26" s="4">
        <v>12</v>
      </c>
      <c r="AC26" s="4" t="s">
        <v>177</v>
      </c>
      <c r="AD26" s="4">
        <f t="shared" si="1"/>
        <v>-0.85</v>
      </c>
      <c r="AE26" s="4">
        <v>3</v>
      </c>
      <c r="AF26" s="4">
        <v>80</v>
      </c>
    </row>
    <row r="27" ht="75" spans="1:32">
      <c r="A27" s="4" t="s">
        <v>189</v>
      </c>
      <c r="B27" s="1" t="str">
        <f>_xlfn.DISPIMG("ID_9014FAC7A29C415D9BFE6271A9A46BFB",1)</f>
        <v>=DISPIMG("ID_9014FAC7A29C415D9BFE6271A9A46BFB",1)</v>
      </c>
      <c r="C27" s="1" t="s">
        <v>176</v>
      </c>
      <c r="D27" s="4">
        <v>111</v>
      </c>
      <c r="E27" s="4">
        <v>0</v>
      </c>
      <c r="F27" s="4">
        <v>0</v>
      </c>
      <c r="G27" s="4">
        <v>0</v>
      </c>
      <c r="H27" s="4">
        <v>0</v>
      </c>
      <c r="I27" s="4">
        <v>100</v>
      </c>
      <c r="J27" s="4" t="s">
        <v>35</v>
      </c>
      <c r="K27" s="4" t="s">
        <v>35</v>
      </c>
      <c r="L27" s="4">
        <v>45</v>
      </c>
      <c r="M27" s="4">
        <v>30</v>
      </c>
      <c r="N27" s="4">
        <v>25</v>
      </c>
      <c r="O27" s="4">
        <v>25</v>
      </c>
      <c r="P27" s="4">
        <v>30</v>
      </c>
      <c r="Q27" s="4">
        <v>35</v>
      </c>
      <c r="R27" s="4">
        <v>30</v>
      </c>
      <c r="S27" s="4">
        <v>0</v>
      </c>
      <c r="T27" s="4">
        <v>0</v>
      </c>
      <c r="U27" s="4" t="s">
        <v>43</v>
      </c>
      <c r="V27" s="4" t="s">
        <v>43</v>
      </c>
      <c r="W27" s="4" t="s">
        <v>35</v>
      </c>
      <c r="X27" s="4" t="s">
        <v>35</v>
      </c>
      <c r="Y27" s="4">
        <v>11</v>
      </c>
      <c r="Z27" s="4">
        <v>11</v>
      </c>
      <c r="AA27" s="4">
        <v>0</v>
      </c>
      <c r="AB27" s="4">
        <v>0</v>
      </c>
      <c r="AC27" s="4" t="s">
        <v>177</v>
      </c>
      <c r="AD27" s="4">
        <f t="shared" si="1"/>
        <v>-0.85</v>
      </c>
      <c r="AE27" s="4">
        <v>3</v>
      </c>
      <c r="AF27" s="4">
        <v>65</v>
      </c>
    </row>
    <row r="28" ht="75" spans="1:32">
      <c r="A28" s="4" t="s">
        <v>190</v>
      </c>
      <c r="B28" s="1" t="str">
        <f>_xlfn.DISPIMG("ID_1776E4A5097C4BE3AE43C872FA14E1E5",1)</f>
        <v>=DISPIMG("ID_1776E4A5097C4BE3AE43C872FA14E1E5",1)</v>
      </c>
      <c r="C28" s="1" t="s">
        <v>176</v>
      </c>
      <c r="D28" s="4">
        <v>117</v>
      </c>
      <c r="E28" s="4">
        <v>0</v>
      </c>
      <c r="F28" s="4">
        <v>0</v>
      </c>
      <c r="G28" s="4">
        <v>0</v>
      </c>
      <c r="H28" s="4">
        <v>0</v>
      </c>
      <c r="I28" s="4">
        <v>100</v>
      </c>
      <c r="J28" s="4" t="s">
        <v>35</v>
      </c>
      <c r="K28" s="4" t="s">
        <v>35</v>
      </c>
      <c r="L28" s="4">
        <v>45</v>
      </c>
      <c r="M28" s="4">
        <v>30</v>
      </c>
      <c r="N28" s="4">
        <v>25</v>
      </c>
      <c r="O28" s="4">
        <v>25</v>
      </c>
      <c r="P28" s="4">
        <v>30</v>
      </c>
      <c r="Q28" s="4">
        <v>30</v>
      </c>
      <c r="R28" s="4">
        <v>0</v>
      </c>
      <c r="S28" s="4">
        <v>0</v>
      </c>
      <c r="T28" s="4">
        <v>0</v>
      </c>
      <c r="U28" s="4" t="s">
        <v>43</v>
      </c>
      <c r="V28" s="4" t="s">
        <v>34</v>
      </c>
      <c r="W28" s="4" t="s">
        <v>35</v>
      </c>
      <c r="X28" s="4" t="s">
        <v>34</v>
      </c>
      <c r="Y28" s="4">
        <v>10</v>
      </c>
      <c r="Z28" s="4">
        <v>10</v>
      </c>
      <c r="AA28" s="4">
        <v>0</v>
      </c>
      <c r="AB28" s="4">
        <v>0</v>
      </c>
      <c r="AC28" s="4" t="s">
        <v>177</v>
      </c>
      <c r="AD28" s="4" t="s">
        <v>191</v>
      </c>
      <c r="AE28" s="4">
        <v>3</v>
      </c>
      <c r="AF28" s="4">
        <v>80</v>
      </c>
    </row>
    <row r="29" ht="75" spans="1:32">
      <c r="A29" s="4" t="s">
        <v>192</v>
      </c>
      <c r="B29" s="1" t="str">
        <f>_xlfn.DISPIMG("ID_420F947A0E4D4CDE92D90238B7A077F0",1)</f>
        <v>=DISPIMG("ID_420F947A0E4D4CDE92D90238B7A077F0",1)</v>
      </c>
      <c r="C29" s="1" t="s">
        <v>176</v>
      </c>
      <c r="D29" s="4">
        <v>115</v>
      </c>
      <c r="E29" s="4">
        <v>0</v>
      </c>
      <c r="F29" s="4">
        <v>0</v>
      </c>
      <c r="G29" s="4">
        <v>0</v>
      </c>
      <c r="H29" s="4">
        <v>0</v>
      </c>
      <c r="I29" s="4">
        <v>100</v>
      </c>
      <c r="J29" s="4" t="s">
        <v>35</v>
      </c>
      <c r="K29" s="4" t="s">
        <v>35</v>
      </c>
      <c r="L29" s="4">
        <v>55</v>
      </c>
      <c r="M29" s="4">
        <v>35</v>
      </c>
      <c r="N29" s="4">
        <v>30</v>
      </c>
      <c r="O29" s="4">
        <v>30</v>
      </c>
      <c r="P29" s="4">
        <v>35</v>
      </c>
      <c r="Q29" s="4">
        <v>35</v>
      </c>
      <c r="R29" s="4">
        <v>0</v>
      </c>
      <c r="S29" s="4">
        <v>0</v>
      </c>
      <c r="T29" s="4">
        <v>0</v>
      </c>
      <c r="U29" s="4" t="s">
        <v>53</v>
      </c>
      <c r="V29" s="4" t="s">
        <v>43</v>
      </c>
      <c r="W29" s="4" t="s">
        <v>35</v>
      </c>
      <c r="X29" s="4" t="s">
        <v>35</v>
      </c>
      <c r="Y29" s="4">
        <v>16</v>
      </c>
      <c r="Z29" s="4">
        <v>15</v>
      </c>
      <c r="AA29" s="4">
        <v>0</v>
      </c>
      <c r="AB29" s="4">
        <v>0</v>
      </c>
      <c r="AC29" s="4" t="s">
        <v>193</v>
      </c>
      <c r="AD29" s="4" t="s">
        <v>194</v>
      </c>
      <c r="AE29" s="4">
        <v>4.5</v>
      </c>
      <c r="AF29" s="4">
        <v>80</v>
      </c>
    </row>
    <row r="30" ht="75" spans="1:32">
      <c r="A30" s="4" t="s">
        <v>195</v>
      </c>
      <c r="B30" s="1" t="str">
        <f>_xlfn.DISPIMG("ID_809724828B3542419152911252AF3387",1)</f>
        <v>=DISPIMG("ID_809724828B3542419152911252AF3387",1)</v>
      </c>
      <c r="C30" s="1" t="s">
        <v>176</v>
      </c>
      <c r="D30" s="4">
        <v>107</v>
      </c>
      <c r="E30" s="4">
        <v>0</v>
      </c>
      <c r="F30" s="4">
        <v>0</v>
      </c>
      <c r="G30" s="4">
        <v>0</v>
      </c>
      <c r="H30" s="4">
        <v>0</v>
      </c>
      <c r="I30" s="4">
        <v>100</v>
      </c>
      <c r="J30" s="4" t="s">
        <v>35</v>
      </c>
      <c r="K30" s="4" t="s">
        <v>35</v>
      </c>
      <c r="L30" s="4">
        <v>50</v>
      </c>
      <c r="M30" s="4">
        <v>35</v>
      </c>
      <c r="N30" s="4">
        <v>30</v>
      </c>
      <c r="O30" s="4">
        <v>30</v>
      </c>
      <c r="P30" s="4">
        <v>35</v>
      </c>
      <c r="Q30" s="4">
        <v>35</v>
      </c>
      <c r="R30" s="4">
        <v>0</v>
      </c>
      <c r="S30" s="4">
        <v>0</v>
      </c>
      <c r="T30" s="4">
        <v>0</v>
      </c>
      <c r="U30" s="4" t="s">
        <v>43</v>
      </c>
      <c r="V30" s="4" t="s">
        <v>43</v>
      </c>
      <c r="W30" s="4" t="s">
        <v>35</v>
      </c>
      <c r="X30" s="4" t="s">
        <v>34</v>
      </c>
      <c r="Y30" s="4">
        <v>10</v>
      </c>
      <c r="Z30" s="4">
        <v>18</v>
      </c>
      <c r="AA30" s="4" t="s">
        <v>35</v>
      </c>
      <c r="AB30" s="4">
        <v>14</v>
      </c>
      <c r="AC30" s="4" t="s">
        <v>196</v>
      </c>
      <c r="AD30" s="4">
        <f>-(17/22)</f>
        <v>-0.772727272727273</v>
      </c>
      <c r="AE30" s="4">
        <v>4</v>
      </c>
      <c r="AF30" s="4">
        <v>80</v>
      </c>
    </row>
    <row r="31" ht="75" spans="1:32">
      <c r="A31" s="4" t="s">
        <v>197</v>
      </c>
      <c r="B31" s="1" t="str">
        <f>_xlfn.DISPIMG("ID_EFE4517FE06944E3BBAA11B23D91542E",1)</f>
        <v>=DISPIMG("ID_EFE4517FE06944E3BBAA11B23D91542E",1)</v>
      </c>
      <c r="C31" s="1" t="s">
        <v>176</v>
      </c>
      <c r="D31" s="4">
        <v>100</v>
      </c>
      <c r="E31" s="4">
        <v>0</v>
      </c>
      <c r="F31" s="4">
        <v>0</v>
      </c>
      <c r="G31" s="4">
        <v>0</v>
      </c>
      <c r="H31" s="4">
        <v>0</v>
      </c>
      <c r="I31" s="4">
        <v>100</v>
      </c>
      <c r="J31" s="4" t="s">
        <v>35</v>
      </c>
      <c r="K31" s="4" t="s">
        <v>35</v>
      </c>
      <c r="L31" s="4">
        <v>50</v>
      </c>
      <c r="M31" s="4">
        <v>30</v>
      </c>
      <c r="N31" s="4">
        <v>25</v>
      </c>
      <c r="O31" s="4">
        <v>25</v>
      </c>
      <c r="P31" s="4">
        <v>30</v>
      </c>
      <c r="Q31" s="4">
        <v>30</v>
      </c>
      <c r="R31" s="4">
        <v>0</v>
      </c>
      <c r="S31" s="4">
        <v>0</v>
      </c>
      <c r="T31" s="4">
        <v>0</v>
      </c>
      <c r="U31" s="4" t="s">
        <v>43</v>
      </c>
      <c r="V31" s="4" t="s">
        <v>43</v>
      </c>
      <c r="W31" s="4" t="s">
        <v>35</v>
      </c>
      <c r="X31" s="4" t="s">
        <v>35</v>
      </c>
      <c r="Y31" s="4">
        <v>12</v>
      </c>
      <c r="Z31" s="4">
        <v>18</v>
      </c>
      <c r="AA31" s="4">
        <v>0</v>
      </c>
      <c r="AB31" s="4">
        <v>0</v>
      </c>
      <c r="AC31" s="4" t="s">
        <v>198</v>
      </c>
      <c r="AD31" s="4" t="s">
        <v>199</v>
      </c>
      <c r="AE31" s="4">
        <v>6.5</v>
      </c>
      <c r="AF31" s="4">
        <v>70</v>
      </c>
    </row>
    <row r="32" ht="75" spans="1:32">
      <c r="A32" s="4" t="s">
        <v>200</v>
      </c>
      <c r="B32" s="1" t="str">
        <f>_xlfn.DISPIMG("ID_A69CB7B5708F47259314099D75D3873E",1)</f>
        <v>=DISPIMG("ID_A69CB7B5708F47259314099D75D3873E",1)</v>
      </c>
      <c r="C32" s="1" t="s">
        <v>176</v>
      </c>
      <c r="D32" s="4">
        <v>120</v>
      </c>
      <c r="E32" s="4">
        <v>0</v>
      </c>
      <c r="F32" s="4">
        <v>0</v>
      </c>
      <c r="G32" s="4">
        <v>0</v>
      </c>
      <c r="H32" s="4">
        <v>0</v>
      </c>
      <c r="I32" s="4">
        <v>100</v>
      </c>
      <c r="J32" s="4" t="s">
        <v>35</v>
      </c>
      <c r="K32" s="4" t="s">
        <v>35</v>
      </c>
      <c r="L32" s="4">
        <v>60</v>
      </c>
      <c r="M32" s="4">
        <v>40</v>
      </c>
      <c r="N32" s="4">
        <v>35</v>
      </c>
      <c r="O32" s="4">
        <v>30</v>
      </c>
      <c r="P32" s="4">
        <v>35</v>
      </c>
      <c r="Q32" s="4">
        <v>50</v>
      </c>
      <c r="R32" s="4">
        <v>0</v>
      </c>
      <c r="S32" s="4">
        <v>0</v>
      </c>
      <c r="T32" s="4">
        <v>0</v>
      </c>
      <c r="U32" s="4" t="s">
        <v>43</v>
      </c>
      <c r="V32" s="4" t="s">
        <v>43</v>
      </c>
      <c r="W32" s="4" t="s">
        <v>35</v>
      </c>
      <c r="X32" s="4" t="s">
        <v>35</v>
      </c>
      <c r="Y32" s="4">
        <v>12</v>
      </c>
      <c r="Z32" s="4">
        <v>12</v>
      </c>
      <c r="AA32" s="4">
        <v>0</v>
      </c>
      <c r="AB32" s="4">
        <v>0</v>
      </c>
      <c r="AC32" s="4" t="s">
        <v>201</v>
      </c>
      <c r="AD32" s="4">
        <f t="shared" ref="AD32:AD37" si="2">-(17/20)</f>
        <v>-0.85</v>
      </c>
      <c r="AE32" s="4">
        <v>5.5</v>
      </c>
      <c r="AF32" s="4">
        <v>70</v>
      </c>
    </row>
    <row r="33" ht="75" spans="1:32">
      <c r="A33" s="4" t="s">
        <v>202</v>
      </c>
      <c r="B33" s="1" t="str">
        <f>_xlfn.DISPIMG("ID_B5F67A739C874CC7B3C67867CFC0D947",1)</f>
        <v>=DISPIMG("ID_B5F67A739C874CC7B3C67867CFC0D947",1)</v>
      </c>
      <c r="C33" s="1" t="s">
        <v>176</v>
      </c>
      <c r="D33" s="4">
        <v>120</v>
      </c>
      <c r="E33" s="4">
        <v>0</v>
      </c>
      <c r="F33" s="4">
        <v>11</v>
      </c>
      <c r="G33" s="4">
        <v>0</v>
      </c>
      <c r="H33" s="4">
        <v>0</v>
      </c>
      <c r="I33" s="4">
        <v>100</v>
      </c>
      <c r="J33" s="4" t="s">
        <v>35</v>
      </c>
      <c r="K33" s="4" t="s">
        <v>35</v>
      </c>
      <c r="L33" s="4">
        <v>45</v>
      </c>
      <c r="M33" s="4">
        <v>30</v>
      </c>
      <c r="N33" s="4">
        <v>25</v>
      </c>
      <c r="O33" s="4">
        <v>25</v>
      </c>
      <c r="P33" s="4">
        <v>30</v>
      </c>
      <c r="Q33" s="4">
        <v>30</v>
      </c>
      <c r="R33" s="4">
        <v>0</v>
      </c>
      <c r="S33" s="4">
        <v>0</v>
      </c>
      <c r="T33" s="4">
        <v>0</v>
      </c>
      <c r="U33" s="4" t="s">
        <v>53</v>
      </c>
      <c r="V33" s="4" t="s">
        <v>43</v>
      </c>
      <c r="W33" s="4" t="s">
        <v>34</v>
      </c>
      <c r="X33" s="4" t="s">
        <v>34</v>
      </c>
      <c r="Y33" s="4">
        <v>17</v>
      </c>
      <c r="Z33" s="4">
        <v>15</v>
      </c>
      <c r="AA33" s="4">
        <v>0</v>
      </c>
      <c r="AB33" s="4">
        <v>0</v>
      </c>
      <c r="AC33" s="4" t="s">
        <v>203</v>
      </c>
      <c r="AD33" s="4">
        <f>-(7/10)</f>
        <v>-0.7</v>
      </c>
      <c r="AE33" s="4">
        <v>4.5</v>
      </c>
      <c r="AF33" s="4">
        <v>70</v>
      </c>
    </row>
    <row r="34" ht="75" spans="1:32">
      <c r="A34" s="4" t="s">
        <v>204</v>
      </c>
      <c r="B34" s="1" t="str">
        <f>_xlfn.DISPIMG("ID_AF7E15837C2747E6AEB1A254F3228FE4",1)</f>
        <v>=DISPIMG("ID_AF7E15837C2747E6AEB1A254F3228FE4",1)</v>
      </c>
      <c r="C34" s="1" t="s">
        <v>205</v>
      </c>
      <c r="D34" s="4">
        <v>134</v>
      </c>
      <c r="E34" s="4">
        <v>0</v>
      </c>
      <c r="F34" s="4">
        <v>0</v>
      </c>
      <c r="G34" s="4">
        <v>0</v>
      </c>
      <c r="H34" s="4">
        <v>0</v>
      </c>
      <c r="I34" s="4">
        <v>100</v>
      </c>
      <c r="J34" s="4" t="s">
        <v>35</v>
      </c>
      <c r="K34" s="4" t="s">
        <v>35</v>
      </c>
      <c r="L34" s="4">
        <v>50</v>
      </c>
      <c r="M34" s="4">
        <v>35</v>
      </c>
      <c r="N34" s="4">
        <v>30</v>
      </c>
      <c r="O34" s="4">
        <v>30</v>
      </c>
      <c r="P34" s="4">
        <v>35</v>
      </c>
      <c r="Q34" s="4">
        <v>40</v>
      </c>
      <c r="R34" s="4">
        <v>0</v>
      </c>
      <c r="S34" s="4">
        <v>0</v>
      </c>
      <c r="T34" s="4">
        <v>0</v>
      </c>
      <c r="U34" s="4" t="s">
        <v>53</v>
      </c>
      <c r="V34" s="4" t="s">
        <v>34</v>
      </c>
      <c r="W34" s="4" t="s">
        <v>35</v>
      </c>
      <c r="X34" s="4" t="s">
        <v>35</v>
      </c>
      <c r="Y34" s="4">
        <v>19</v>
      </c>
      <c r="Z34" s="4">
        <v>13</v>
      </c>
      <c r="AA34" s="4">
        <v>0</v>
      </c>
      <c r="AB34" s="4">
        <v>0</v>
      </c>
      <c r="AC34" s="4" t="s">
        <v>193</v>
      </c>
      <c r="AD34" s="4" t="s">
        <v>206</v>
      </c>
      <c r="AE34" s="4">
        <v>9</v>
      </c>
      <c r="AF34" s="4">
        <v>85</v>
      </c>
    </row>
    <row r="35" ht="75" spans="1:32">
      <c r="A35" s="4" t="s">
        <v>207</v>
      </c>
      <c r="B35" s="1" t="str">
        <f>_xlfn.DISPIMG("ID_06038258E93D4A3D9E78B6A415846081",1)</f>
        <v>=DISPIMG("ID_06038258E93D4A3D9E78B6A415846081",1)</v>
      </c>
      <c r="C35" s="1" t="s">
        <v>205</v>
      </c>
      <c r="D35" s="4">
        <v>138</v>
      </c>
      <c r="E35" s="4">
        <v>0</v>
      </c>
      <c r="F35" s="4">
        <v>0</v>
      </c>
      <c r="G35" s="4">
        <v>0</v>
      </c>
      <c r="H35" s="4">
        <v>0</v>
      </c>
      <c r="I35" s="4">
        <v>100</v>
      </c>
      <c r="J35" s="4" t="s">
        <v>35</v>
      </c>
      <c r="K35" s="4" t="s">
        <v>35</v>
      </c>
      <c r="L35" s="4">
        <v>50</v>
      </c>
      <c r="M35" s="4">
        <v>35</v>
      </c>
      <c r="N35" s="4">
        <v>30</v>
      </c>
      <c r="O35" s="4">
        <v>30</v>
      </c>
      <c r="P35" s="4">
        <v>35</v>
      </c>
      <c r="Q35" s="4">
        <v>35</v>
      </c>
      <c r="R35" s="4">
        <v>0</v>
      </c>
      <c r="S35" s="4">
        <v>0</v>
      </c>
      <c r="T35" s="4">
        <v>0</v>
      </c>
      <c r="U35" s="4" t="s">
        <v>43</v>
      </c>
      <c r="V35" s="4" t="s">
        <v>43</v>
      </c>
      <c r="W35" s="4" t="s">
        <v>35</v>
      </c>
      <c r="X35" s="4" t="s">
        <v>35</v>
      </c>
      <c r="Y35" s="4">
        <v>16</v>
      </c>
      <c r="Z35" s="4">
        <v>10</v>
      </c>
      <c r="AA35" s="4">
        <v>0</v>
      </c>
      <c r="AB35" s="4">
        <v>0</v>
      </c>
      <c r="AC35" s="4" t="s">
        <v>193</v>
      </c>
      <c r="AD35" s="4" t="s">
        <v>208</v>
      </c>
      <c r="AE35" s="4">
        <v>8</v>
      </c>
      <c r="AF35" s="4">
        <v>75</v>
      </c>
    </row>
    <row r="36" ht="75" spans="1:32">
      <c r="A36" s="4" t="s">
        <v>205</v>
      </c>
      <c r="B36" s="1" t="str">
        <f>_xlfn.DISPIMG("ID_D11CF04EB60644BCB47DE2C99521994C",1)</f>
        <v>=DISPIMG("ID_D11CF04EB60644BCB47DE2C99521994C",1)</v>
      </c>
      <c r="C36" s="1" t="s">
        <v>205</v>
      </c>
      <c r="D36" s="4">
        <v>138</v>
      </c>
      <c r="E36" s="4">
        <v>0</v>
      </c>
      <c r="F36" s="4">
        <v>0</v>
      </c>
      <c r="G36" s="4">
        <v>0</v>
      </c>
      <c r="H36" s="4">
        <v>0</v>
      </c>
      <c r="I36" s="4">
        <v>100</v>
      </c>
      <c r="J36" s="4" t="s">
        <v>35</v>
      </c>
      <c r="K36" s="4" t="s">
        <v>35</v>
      </c>
      <c r="L36" s="4">
        <v>50</v>
      </c>
      <c r="M36" s="4">
        <v>35</v>
      </c>
      <c r="N36" s="4">
        <v>30</v>
      </c>
      <c r="O36" s="4">
        <v>30</v>
      </c>
      <c r="P36" s="4">
        <v>35</v>
      </c>
      <c r="Q36" s="4">
        <v>35</v>
      </c>
      <c r="R36" s="4">
        <v>0</v>
      </c>
      <c r="S36" s="4">
        <v>0</v>
      </c>
      <c r="T36" s="4">
        <v>0</v>
      </c>
      <c r="U36" s="4" t="s">
        <v>43</v>
      </c>
      <c r="V36" s="4" t="s">
        <v>43</v>
      </c>
      <c r="W36" s="4" t="s">
        <v>35</v>
      </c>
      <c r="X36" s="4" t="s">
        <v>35</v>
      </c>
      <c r="Y36" s="4">
        <v>16</v>
      </c>
      <c r="Z36" s="4">
        <v>13</v>
      </c>
      <c r="AA36" s="4">
        <v>0</v>
      </c>
      <c r="AB36" s="4">
        <v>0</v>
      </c>
      <c r="AC36" s="4" t="s">
        <v>177</v>
      </c>
      <c r="AD36" s="4">
        <f t="shared" si="2"/>
        <v>-0.85</v>
      </c>
      <c r="AE36" s="4">
        <v>9</v>
      </c>
      <c r="AF36" s="4">
        <v>75</v>
      </c>
    </row>
    <row r="37" ht="75" spans="1:32">
      <c r="A37" s="4" t="s">
        <v>209</v>
      </c>
      <c r="B37" s="1" t="str">
        <f>_xlfn.DISPIMG("ID_00A4F666EE094744BBAC1C15C8BCB4EF",1)</f>
        <v>=DISPIMG("ID_00A4F666EE094744BBAC1C15C8BCB4EF",1)</v>
      </c>
      <c r="C37" s="1" t="s">
        <v>205</v>
      </c>
      <c r="D37" s="4">
        <v>158</v>
      </c>
      <c r="E37" s="4">
        <v>0</v>
      </c>
      <c r="F37" s="4">
        <v>0</v>
      </c>
      <c r="G37" s="4">
        <v>0</v>
      </c>
      <c r="H37" s="4">
        <v>0</v>
      </c>
      <c r="I37" s="4">
        <v>100</v>
      </c>
      <c r="J37" s="4" t="s">
        <v>35</v>
      </c>
      <c r="K37" s="4" t="s">
        <v>35</v>
      </c>
      <c r="L37" s="4">
        <v>50</v>
      </c>
      <c r="M37" s="4">
        <v>35</v>
      </c>
      <c r="N37" s="4">
        <v>30</v>
      </c>
      <c r="O37" s="4">
        <v>30</v>
      </c>
      <c r="P37" s="4">
        <v>35</v>
      </c>
      <c r="Q37" s="4">
        <v>35</v>
      </c>
      <c r="R37" s="4">
        <v>36</v>
      </c>
      <c r="S37" s="4">
        <v>0</v>
      </c>
      <c r="T37" s="4">
        <v>0</v>
      </c>
      <c r="U37" s="4" t="s">
        <v>43</v>
      </c>
      <c r="V37" s="4" t="s">
        <v>43</v>
      </c>
      <c r="W37" s="4" t="s">
        <v>35</v>
      </c>
      <c r="X37" s="4" t="s">
        <v>35</v>
      </c>
      <c r="Y37" s="4">
        <v>15</v>
      </c>
      <c r="Z37" s="4">
        <v>14</v>
      </c>
      <c r="AA37" s="4">
        <v>0</v>
      </c>
      <c r="AB37" s="4">
        <v>0</v>
      </c>
      <c r="AC37" s="4" t="s">
        <v>177</v>
      </c>
      <c r="AD37" s="4">
        <f t="shared" si="2"/>
        <v>-0.85</v>
      </c>
      <c r="AE37" s="4">
        <v>8.5</v>
      </c>
      <c r="AF37" s="4">
        <v>70</v>
      </c>
    </row>
    <row r="38" ht="75" spans="1:32">
      <c r="A38" s="4" t="s">
        <v>210</v>
      </c>
      <c r="B38" s="1" t="str">
        <f>_xlfn.DISPIMG("ID_0A27655D15034351B6DBEC9E2D689580",1)</f>
        <v>=DISPIMG("ID_0A27655D15034351B6DBEC9E2D689580",1)</v>
      </c>
      <c r="C38" s="1" t="s">
        <v>205</v>
      </c>
      <c r="D38" s="4">
        <v>110</v>
      </c>
      <c r="E38" s="4">
        <v>86</v>
      </c>
      <c r="F38" s="4">
        <v>0</v>
      </c>
      <c r="G38" s="4">
        <v>0</v>
      </c>
      <c r="H38" s="4">
        <v>0</v>
      </c>
      <c r="I38" s="4">
        <v>100</v>
      </c>
      <c r="J38" s="4" t="s">
        <v>35</v>
      </c>
      <c r="K38" s="4" t="s">
        <v>35</v>
      </c>
      <c r="L38" s="4">
        <v>50</v>
      </c>
      <c r="M38" s="4">
        <v>35</v>
      </c>
      <c r="N38" s="4">
        <v>30</v>
      </c>
      <c r="O38" s="4">
        <v>30</v>
      </c>
      <c r="P38" s="4">
        <v>35</v>
      </c>
      <c r="Q38" s="4">
        <v>40</v>
      </c>
      <c r="R38" s="4">
        <v>0</v>
      </c>
      <c r="S38" s="4">
        <v>0</v>
      </c>
      <c r="T38" s="4">
        <v>0</v>
      </c>
      <c r="U38" s="4" t="s">
        <v>43</v>
      </c>
      <c r="V38" s="4" t="s">
        <v>43</v>
      </c>
      <c r="W38" s="4" t="s">
        <v>53</v>
      </c>
      <c r="X38" s="4" t="s">
        <v>35</v>
      </c>
      <c r="Y38" s="4">
        <v>17</v>
      </c>
      <c r="Z38" s="4">
        <v>15</v>
      </c>
      <c r="AA38" s="4">
        <v>12</v>
      </c>
      <c r="AB38" s="4">
        <v>0</v>
      </c>
      <c r="AC38" s="4" t="s">
        <v>211</v>
      </c>
      <c r="AD38" s="4">
        <f>-(19/22)</f>
        <v>-0.863636363636364</v>
      </c>
      <c r="AE38" s="4">
        <v>9</v>
      </c>
      <c r="AF38" s="4">
        <v>85</v>
      </c>
    </row>
    <row r="39" ht="75" spans="1:32">
      <c r="A39" s="4" t="s">
        <v>212</v>
      </c>
      <c r="B39" s="1" t="str">
        <f>_xlfn.DISPIMG("ID_4AF5A305B98C4EDCA2BBD6E626416A52",1)</f>
        <v>=DISPIMG("ID_4AF5A305B98C4EDCA2BBD6E626416A52",1)</v>
      </c>
      <c r="C39" s="1" t="s">
        <v>205</v>
      </c>
      <c r="D39" s="4">
        <v>173</v>
      </c>
      <c r="E39" s="4">
        <v>0</v>
      </c>
      <c r="F39" s="4">
        <v>0</v>
      </c>
      <c r="G39" s="4">
        <v>0</v>
      </c>
      <c r="H39" s="4">
        <v>0</v>
      </c>
      <c r="I39" s="4">
        <v>100</v>
      </c>
      <c r="J39" s="4" t="s">
        <v>35</v>
      </c>
      <c r="K39" s="4" t="s">
        <v>35</v>
      </c>
      <c r="L39" s="4">
        <v>55</v>
      </c>
      <c r="M39" s="4">
        <v>40</v>
      </c>
      <c r="N39" s="4">
        <v>40</v>
      </c>
      <c r="O39" s="4">
        <v>35</v>
      </c>
      <c r="P39" s="4">
        <v>40</v>
      </c>
      <c r="Q39" s="4">
        <v>40</v>
      </c>
      <c r="R39" s="4">
        <v>0</v>
      </c>
      <c r="S39" s="4">
        <v>0</v>
      </c>
      <c r="T39" s="4">
        <v>0</v>
      </c>
      <c r="U39" s="4" t="s">
        <v>43</v>
      </c>
      <c r="V39" s="4" t="s">
        <v>43</v>
      </c>
      <c r="W39" s="4" t="s">
        <v>35</v>
      </c>
      <c r="X39" s="4" t="s">
        <v>35</v>
      </c>
      <c r="Y39" s="4">
        <v>20</v>
      </c>
      <c r="Z39" s="4">
        <v>18</v>
      </c>
      <c r="AA39" s="4">
        <v>0</v>
      </c>
      <c r="AB39" s="4">
        <v>0</v>
      </c>
      <c r="AC39" s="4" t="s">
        <v>213</v>
      </c>
      <c r="AD39" s="4" t="s">
        <v>167</v>
      </c>
      <c r="AE39" s="4">
        <v>10</v>
      </c>
      <c r="AF39" s="4">
        <v>100</v>
      </c>
    </row>
    <row r="40" ht="75" spans="1:32">
      <c r="A40" s="4" t="s">
        <v>214</v>
      </c>
      <c r="B40" s="1" t="str">
        <f>_xlfn.DISPIMG("ID_B630B0FDEEF54E36A4B0B588CDCECDEA",1)</f>
        <v>=DISPIMG("ID_B630B0FDEEF54E36A4B0B588CDCECDEA",1)</v>
      </c>
      <c r="C40" s="1" t="s">
        <v>205</v>
      </c>
      <c r="D40" s="4">
        <v>126</v>
      </c>
      <c r="E40" s="4">
        <v>0</v>
      </c>
      <c r="F40" s="4">
        <v>83</v>
      </c>
      <c r="G40" s="4">
        <v>0</v>
      </c>
      <c r="H40" s="4">
        <v>0</v>
      </c>
      <c r="I40" s="4">
        <v>100</v>
      </c>
      <c r="J40" s="4" t="s">
        <v>35</v>
      </c>
      <c r="K40" s="4" t="s">
        <v>35</v>
      </c>
      <c r="L40" s="4">
        <v>55</v>
      </c>
      <c r="M40" s="4">
        <v>35</v>
      </c>
      <c r="N40" s="4">
        <v>30</v>
      </c>
      <c r="O40" s="4">
        <v>30</v>
      </c>
      <c r="P40" s="4">
        <v>35</v>
      </c>
      <c r="Q40" s="4">
        <v>40</v>
      </c>
      <c r="R40" s="4">
        <v>0</v>
      </c>
      <c r="S40" s="4">
        <v>0</v>
      </c>
      <c r="T40" s="4">
        <v>0</v>
      </c>
      <c r="U40" s="4" t="s">
        <v>43</v>
      </c>
      <c r="V40" s="4" t="s">
        <v>43</v>
      </c>
      <c r="W40" s="4" t="s">
        <v>43</v>
      </c>
      <c r="X40" s="4" t="s">
        <v>43</v>
      </c>
      <c r="Y40" s="4">
        <v>22</v>
      </c>
      <c r="Z40" s="4">
        <v>14</v>
      </c>
      <c r="AA40" s="4">
        <v>0</v>
      </c>
      <c r="AB40" s="4">
        <v>0</v>
      </c>
      <c r="AC40" s="4" t="s">
        <v>215</v>
      </c>
      <c r="AD40" s="4">
        <f>-(22/22)</f>
        <v>-1</v>
      </c>
      <c r="AE40" s="4">
        <v>9.5</v>
      </c>
      <c r="AF40" s="4">
        <v>95</v>
      </c>
    </row>
    <row r="41" ht="75" spans="1:32">
      <c r="A41" s="4" t="s">
        <v>216</v>
      </c>
      <c r="B41" s="1" t="str">
        <f>_xlfn.DISPIMG("ID_107AB3A8551342EEB5C0ADFB0C110C81",1)</f>
        <v>=DISPIMG("ID_107AB3A8551342EEB5C0ADFB0C110C81",1)</v>
      </c>
      <c r="C41" s="1" t="s">
        <v>205</v>
      </c>
      <c r="D41" s="4">
        <v>151</v>
      </c>
      <c r="E41" s="4">
        <v>0</v>
      </c>
      <c r="F41" s="4">
        <v>0</v>
      </c>
      <c r="G41" s="4">
        <v>0</v>
      </c>
      <c r="H41" s="4">
        <v>0</v>
      </c>
      <c r="I41" s="4">
        <v>100</v>
      </c>
      <c r="J41" s="4" t="s">
        <v>35</v>
      </c>
      <c r="K41" s="4" t="s">
        <v>35</v>
      </c>
      <c r="L41" s="4">
        <v>45</v>
      </c>
      <c r="M41" s="4">
        <v>35</v>
      </c>
      <c r="N41" s="4">
        <v>30</v>
      </c>
      <c r="O41" s="4">
        <v>30</v>
      </c>
      <c r="P41" s="4">
        <v>45</v>
      </c>
      <c r="Q41" s="4">
        <v>30</v>
      </c>
      <c r="R41" s="4">
        <v>0</v>
      </c>
      <c r="S41" s="4">
        <v>0</v>
      </c>
      <c r="T41" s="4">
        <v>0</v>
      </c>
      <c r="U41" s="4" t="s">
        <v>43</v>
      </c>
      <c r="V41" s="4" t="s">
        <v>34</v>
      </c>
      <c r="W41" s="4" t="s">
        <v>35</v>
      </c>
      <c r="X41" s="4" t="s">
        <v>43</v>
      </c>
      <c r="Y41" s="4">
        <v>13</v>
      </c>
      <c r="Z41" s="4">
        <v>13</v>
      </c>
      <c r="AA41" s="4">
        <v>0</v>
      </c>
      <c r="AB41" s="4">
        <v>13</v>
      </c>
      <c r="AC41" s="4" t="s">
        <v>217</v>
      </c>
      <c r="AD41" s="4" t="s">
        <v>48</v>
      </c>
      <c r="AE41" s="4">
        <v>7.5</v>
      </c>
      <c r="AF41" s="4">
        <v>70</v>
      </c>
    </row>
    <row r="42" ht="75" spans="1:32">
      <c r="A42" s="4" t="s">
        <v>218</v>
      </c>
      <c r="B42" s="1" t="str">
        <f>_xlfn.DISPIMG("ID_EE953BE9DE62482BA0896BC05D5D2F5A",1)</f>
        <v>=DISPIMG("ID_EE953BE9DE62482BA0896BC05D5D2F5A",1)</v>
      </c>
      <c r="C42" s="1" t="s">
        <v>205</v>
      </c>
      <c r="D42" s="4">
        <v>139</v>
      </c>
      <c r="E42" s="4">
        <v>0</v>
      </c>
      <c r="F42" s="4">
        <v>0</v>
      </c>
      <c r="G42" s="4">
        <v>0</v>
      </c>
      <c r="H42" s="4">
        <v>0</v>
      </c>
      <c r="I42" s="4">
        <v>100</v>
      </c>
      <c r="J42" s="4" t="s">
        <v>35</v>
      </c>
      <c r="K42" s="4" t="s">
        <v>35</v>
      </c>
      <c r="L42" s="4">
        <v>55</v>
      </c>
      <c r="M42" s="4">
        <v>40</v>
      </c>
      <c r="N42" s="4">
        <v>35</v>
      </c>
      <c r="O42" s="4">
        <v>35</v>
      </c>
      <c r="P42" s="4">
        <v>40</v>
      </c>
      <c r="Q42" s="4">
        <v>40</v>
      </c>
      <c r="R42" s="4">
        <v>0</v>
      </c>
      <c r="S42" s="4">
        <v>0</v>
      </c>
      <c r="T42" s="4">
        <v>0</v>
      </c>
      <c r="U42" s="4" t="s">
        <v>53</v>
      </c>
      <c r="V42" s="4" t="s">
        <v>43</v>
      </c>
      <c r="W42" s="4" t="s">
        <v>35</v>
      </c>
      <c r="X42" s="4" t="s">
        <v>35</v>
      </c>
      <c r="Y42" s="4">
        <v>24</v>
      </c>
      <c r="Z42" s="4">
        <v>18</v>
      </c>
      <c r="AA42" s="4">
        <v>0</v>
      </c>
      <c r="AB42" s="4">
        <v>0</v>
      </c>
      <c r="AC42" s="4" t="s">
        <v>219</v>
      </c>
      <c r="AD42" s="4">
        <f>-(19/23)</f>
        <v>-0.826086956521739</v>
      </c>
      <c r="AE42" s="4">
        <v>11.5</v>
      </c>
      <c r="AF42" s="4">
        <v>95</v>
      </c>
    </row>
    <row r="43" ht="75" spans="1:32">
      <c r="A43" s="4" t="s">
        <v>220</v>
      </c>
      <c r="B43" s="1" t="str">
        <f>_xlfn.DISPIMG("ID_A91EAA79BB424FF9B4E3DAEED55E9E3B",1)</f>
        <v>=DISPIMG("ID_A91EAA79BB424FF9B4E3DAEED55E9E3B",1)</v>
      </c>
      <c r="C43" s="1" t="s">
        <v>205</v>
      </c>
      <c r="D43" s="4">
        <v>145</v>
      </c>
      <c r="E43" s="4">
        <v>0</v>
      </c>
      <c r="F43" s="4">
        <v>0</v>
      </c>
      <c r="G43" s="4">
        <v>0</v>
      </c>
      <c r="H43" s="4">
        <v>0</v>
      </c>
      <c r="I43" s="4">
        <v>100</v>
      </c>
      <c r="J43" s="4" t="s">
        <v>35</v>
      </c>
      <c r="K43" s="4" t="s">
        <v>35</v>
      </c>
      <c r="L43" s="4">
        <v>50</v>
      </c>
      <c r="M43" s="4">
        <v>35</v>
      </c>
      <c r="N43" s="4">
        <v>30</v>
      </c>
      <c r="O43" s="4">
        <v>30</v>
      </c>
      <c r="P43" s="4">
        <v>35</v>
      </c>
      <c r="Q43" s="4">
        <v>35</v>
      </c>
      <c r="R43" s="4">
        <v>0</v>
      </c>
      <c r="S43" s="4">
        <v>0</v>
      </c>
      <c r="T43" s="4">
        <v>0</v>
      </c>
      <c r="U43" s="4" t="s">
        <v>43</v>
      </c>
      <c r="V43" s="4" t="s">
        <v>53</v>
      </c>
      <c r="W43" s="4" t="s">
        <v>35</v>
      </c>
      <c r="X43" s="4" t="s">
        <v>35</v>
      </c>
      <c r="Y43" s="4">
        <v>14</v>
      </c>
      <c r="Z43" s="4">
        <v>18</v>
      </c>
      <c r="AA43" s="4">
        <v>0</v>
      </c>
      <c r="AB43" s="4">
        <v>0</v>
      </c>
      <c r="AC43" s="4" t="s">
        <v>177</v>
      </c>
      <c r="AD43" s="4">
        <f>-(17/20)</f>
        <v>-0.85</v>
      </c>
      <c r="AE43" s="4">
        <v>8.5</v>
      </c>
      <c r="AF43" s="4">
        <v>70</v>
      </c>
    </row>
    <row r="44" ht="75" spans="1:32">
      <c r="A44" s="4" t="s">
        <v>221</v>
      </c>
      <c r="B44" s="1" t="str">
        <f>_xlfn.DISPIMG("ID_67F8540A7CC844178F491BD81E789CAA",1)</f>
        <v>=DISPIMG("ID_67F8540A7CC844178F491BD81E789CAA",1)</v>
      </c>
      <c r="C44" s="1" t="s">
        <v>205</v>
      </c>
      <c r="D44" s="4">
        <v>69</v>
      </c>
      <c r="E44" s="4">
        <v>130</v>
      </c>
      <c r="F44" s="4">
        <v>0</v>
      </c>
      <c r="G44" s="4">
        <v>0</v>
      </c>
      <c r="H44" s="4">
        <v>0</v>
      </c>
      <c r="I44" s="4">
        <v>100</v>
      </c>
      <c r="J44" s="4" t="s">
        <v>35</v>
      </c>
      <c r="K44" s="4" t="s">
        <v>35</v>
      </c>
      <c r="L44" s="4">
        <v>55</v>
      </c>
      <c r="M44" s="4">
        <v>60</v>
      </c>
      <c r="N44" s="4">
        <v>35</v>
      </c>
      <c r="O44" s="4">
        <v>35</v>
      </c>
      <c r="P44" s="4">
        <v>40</v>
      </c>
      <c r="Q44" s="4">
        <v>40</v>
      </c>
      <c r="R44" s="4">
        <v>0</v>
      </c>
      <c r="S44" s="4">
        <v>0</v>
      </c>
      <c r="T44" s="4">
        <v>0</v>
      </c>
      <c r="U44" s="4" t="s">
        <v>34</v>
      </c>
      <c r="V44" s="4" t="s">
        <v>35</v>
      </c>
      <c r="W44" s="4" t="s">
        <v>53</v>
      </c>
      <c r="X44" s="4" t="s">
        <v>35</v>
      </c>
      <c r="Y44" s="4">
        <v>16</v>
      </c>
      <c r="Z44" s="4">
        <v>11</v>
      </c>
      <c r="AA44" s="4">
        <v>26</v>
      </c>
      <c r="AB44" s="4">
        <v>0</v>
      </c>
      <c r="AC44" s="4" t="s">
        <v>222</v>
      </c>
      <c r="AD44" s="4" t="s">
        <v>87</v>
      </c>
      <c r="AE44" s="4">
        <v>10.5</v>
      </c>
      <c r="AF44" s="4">
        <v>75</v>
      </c>
    </row>
    <row r="45" ht="75" spans="1:32">
      <c r="A45" s="4" t="s">
        <v>223</v>
      </c>
      <c r="B45" s="1" t="str">
        <f>_xlfn.DISPIMG("ID_A354666DF30C4A408770CF9248248244",1)</f>
        <v>=DISPIMG("ID_A354666DF30C4A408770CF9248248244",1)</v>
      </c>
      <c r="C45" s="1" t="s">
        <v>205</v>
      </c>
      <c r="D45" s="4">
        <v>89</v>
      </c>
      <c r="E45" s="4">
        <v>71</v>
      </c>
      <c r="F45" s="4">
        <v>0</v>
      </c>
      <c r="G45" s="4">
        <v>71</v>
      </c>
      <c r="H45" s="4">
        <v>0</v>
      </c>
      <c r="I45" s="4">
        <v>100</v>
      </c>
      <c r="J45" s="4" t="s">
        <v>35</v>
      </c>
      <c r="K45" s="4" t="s">
        <v>35</v>
      </c>
      <c r="L45" s="4">
        <v>50</v>
      </c>
      <c r="M45" s="4">
        <v>35</v>
      </c>
      <c r="N45" s="4">
        <v>30</v>
      </c>
      <c r="O45" s="4">
        <v>30</v>
      </c>
      <c r="P45" s="4">
        <v>35</v>
      </c>
      <c r="Q45" s="4">
        <v>35</v>
      </c>
      <c r="R45" s="4">
        <v>0</v>
      </c>
      <c r="S45" s="4">
        <v>0</v>
      </c>
      <c r="T45" s="4">
        <v>0</v>
      </c>
      <c r="U45" s="4" t="s">
        <v>43</v>
      </c>
      <c r="V45" s="4" t="s">
        <v>43</v>
      </c>
      <c r="W45" s="4" t="s">
        <v>35</v>
      </c>
      <c r="X45" s="4" t="s">
        <v>35</v>
      </c>
      <c r="Y45" s="4">
        <v>18</v>
      </c>
      <c r="Z45" s="4">
        <v>16</v>
      </c>
      <c r="AA45" s="4">
        <v>0</v>
      </c>
      <c r="AB45" s="4">
        <v>0</v>
      </c>
      <c r="AC45" s="4" t="s">
        <v>177</v>
      </c>
      <c r="AD45" s="4">
        <f>-(17/20)</f>
        <v>-0.85</v>
      </c>
      <c r="AE45" s="4">
        <v>6</v>
      </c>
      <c r="AF45" s="4">
        <v>75</v>
      </c>
    </row>
    <row r="46" ht="75" spans="1:32">
      <c r="A46" s="4" t="s">
        <v>224</v>
      </c>
      <c r="B46" s="1" t="str">
        <f>_xlfn.DISPIMG("ID_16C5C4BAFD534ED9A49C70023A2AA45C",1)</f>
        <v>=DISPIMG("ID_16C5C4BAFD534ED9A49C70023A2AA45C",1)</v>
      </c>
      <c r="C46" s="1" t="s">
        <v>205</v>
      </c>
      <c r="D46" s="4">
        <v>128</v>
      </c>
      <c r="E46" s="4">
        <v>0</v>
      </c>
      <c r="F46" s="4">
        <v>89</v>
      </c>
      <c r="G46" s="4">
        <v>0</v>
      </c>
      <c r="H46" s="4">
        <v>0</v>
      </c>
      <c r="I46" s="4">
        <v>100</v>
      </c>
      <c r="J46" s="4" t="s">
        <v>35</v>
      </c>
      <c r="K46" s="4" t="s">
        <v>35</v>
      </c>
      <c r="L46" s="4">
        <v>55</v>
      </c>
      <c r="M46" s="4">
        <v>35</v>
      </c>
      <c r="N46" s="4">
        <v>40</v>
      </c>
      <c r="O46" s="4">
        <v>30</v>
      </c>
      <c r="P46" s="4">
        <v>30</v>
      </c>
      <c r="Q46" s="4">
        <v>40</v>
      </c>
      <c r="R46" s="4">
        <v>0</v>
      </c>
      <c r="S46" s="4">
        <v>0</v>
      </c>
      <c r="T46" s="4">
        <v>0</v>
      </c>
      <c r="U46" s="4" t="s">
        <v>43</v>
      </c>
      <c r="V46" s="4" t="s">
        <v>43</v>
      </c>
      <c r="W46" s="4" t="s">
        <v>35</v>
      </c>
      <c r="X46" s="4" t="s">
        <v>35</v>
      </c>
      <c r="Y46" s="4">
        <v>20</v>
      </c>
      <c r="Z46" s="4">
        <v>10</v>
      </c>
      <c r="AA46" s="4">
        <v>10</v>
      </c>
      <c r="AB46" s="4">
        <v>10</v>
      </c>
      <c r="AC46" s="4" t="s">
        <v>203</v>
      </c>
      <c r="AD46" s="4" t="s">
        <v>65</v>
      </c>
      <c r="AE46" s="4">
        <v>9</v>
      </c>
      <c r="AF46" s="4">
        <v>105</v>
      </c>
    </row>
    <row r="47" ht="75" spans="1:32">
      <c r="A47" s="4" t="s">
        <v>225</v>
      </c>
      <c r="B47" s="1" t="str">
        <f>_xlfn.DISPIMG("ID_AB7CFC34CAB24351804940BD512093DE",1)</f>
        <v>=DISPIMG("ID_AB7CFC34CAB24351804940BD512093DE",1)</v>
      </c>
      <c r="C47" s="1" t="s">
        <v>205</v>
      </c>
      <c r="D47" s="4">
        <v>143</v>
      </c>
      <c r="E47" s="4">
        <v>0</v>
      </c>
      <c r="F47" s="4">
        <v>0</v>
      </c>
      <c r="G47" s="4">
        <v>0</v>
      </c>
      <c r="H47" s="4">
        <v>0</v>
      </c>
      <c r="I47" s="4">
        <v>100</v>
      </c>
      <c r="J47" s="4" t="s">
        <v>35</v>
      </c>
      <c r="K47" s="4" t="s">
        <v>35</v>
      </c>
      <c r="L47" s="4">
        <v>50</v>
      </c>
      <c r="M47" s="4">
        <v>35</v>
      </c>
      <c r="N47" s="4">
        <v>30</v>
      </c>
      <c r="O47" s="4">
        <v>30</v>
      </c>
      <c r="P47" s="4">
        <v>35</v>
      </c>
      <c r="Q47" s="4">
        <v>35</v>
      </c>
      <c r="R47" s="4">
        <v>0</v>
      </c>
      <c r="S47" s="4">
        <v>0</v>
      </c>
      <c r="T47" s="4">
        <v>0</v>
      </c>
      <c r="U47" s="4" t="s">
        <v>43</v>
      </c>
      <c r="V47" s="4" t="s">
        <v>43</v>
      </c>
      <c r="W47" s="4" t="s">
        <v>35</v>
      </c>
      <c r="X47" s="4" t="s">
        <v>35</v>
      </c>
      <c r="Y47" s="4">
        <v>0</v>
      </c>
      <c r="Z47" s="4">
        <v>0</v>
      </c>
      <c r="AA47" s="4">
        <v>0</v>
      </c>
      <c r="AB47" s="4">
        <v>0</v>
      </c>
      <c r="AC47" s="4" t="s">
        <v>226</v>
      </c>
      <c r="AD47" s="4">
        <f>-(20/20)</f>
        <v>-1</v>
      </c>
      <c r="AE47" s="4">
        <v>8</v>
      </c>
      <c r="AF47" s="4">
        <v>10</v>
      </c>
    </row>
    <row r="48" ht="75" spans="1:32">
      <c r="A48" s="4" t="s">
        <v>227</v>
      </c>
      <c r="B48" s="1" t="str">
        <f>_xlfn.DISPIMG("ID_C2A16946AD914A818C8BFFC3D4DC7C20",1)</f>
        <v>=DISPIMG("ID_C2A16946AD914A818C8BFFC3D4DC7C20",1)</v>
      </c>
      <c r="C48" s="1" t="s">
        <v>205</v>
      </c>
      <c r="D48" s="4">
        <v>80</v>
      </c>
      <c r="E48" s="4">
        <v>0</v>
      </c>
      <c r="F48" s="4">
        <v>0</v>
      </c>
      <c r="G48" s="4">
        <v>0</v>
      </c>
      <c r="H48" s="4">
        <v>115</v>
      </c>
      <c r="I48" s="4">
        <v>100</v>
      </c>
      <c r="J48" s="4" t="s">
        <v>35</v>
      </c>
      <c r="K48" s="4" t="s">
        <v>35</v>
      </c>
      <c r="L48" s="4">
        <v>50</v>
      </c>
      <c r="M48" s="4">
        <v>35</v>
      </c>
      <c r="N48" s="4">
        <v>30</v>
      </c>
      <c r="O48" s="4">
        <v>30</v>
      </c>
      <c r="P48" s="4">
        <v>35</v>
      </c>
      <c r="Q48" s="4">
        <v>35</v>
      </c>
      <c r="R48" s="4">
        <v>0</v>
      </c>
      <c r="S48" s="4">
        <v>0</v>
      </c>
      <c r="T48" s="4">
        <v>0</v>
      </c>
      <c r="U48" s="4" t="s">
        <v>34</v>
      </c>
      <c r="V48" s="4" t="s">
        <v>34</v>
      </c>
      <c r="W48" s="4" t="s">
        <v>43</v>
      </c>
      <c r="X48" s="4" t="s">
        <v>43</v>
      </c>
      <c r="Y48" s="4">
        <v>14</v>
      </c>
      <c r="Z48" s="4">
        <v>12</v>
      </c>
      <c r="AA48" s="4">
        <v>15</v>
      </c>
      <c r="AB48" s="4">
        <v>15</v>
      </c>
      <c r="AC48" s="4" t="s">
        <v>228</v>
      </c>
      <c r="AD48" s="4" t="s">
        <v>229</v>
      </c>
      <c r="AE48" s="4">
        <v>9</v>
      </c>
      <c r="AF48" s="4">
        <v>75</v>
      </c>
    </row>
    <row r="49" ht="75" spans="1:32">
      <c r="A49" s="4" t="s">
        <v>230</v>
      </c>
      <c r="B49" s="1" t="str">
        <f>_xlfn.DISPIMG("ID_E8BECE60080740578FC20CDA11C90703",1)</f>
        <v>=DISPIMG("ID_E8BECE60080740578FC20CDA11C90703",1)</v>
      </c>
      <c r="C49" s="1" t="s">
        <v>205</v>
      </c>
      <c r="D49" s="4">
        <v>147</v>
      </c>
      <c r="E49" s="4">
        <v>0</v>
      </c>
      <c r="F49" s="4">
        <v>0</v>
      </c>
      <c r="G49" s="4">
        <v>0</v>
      </c>
      <c r="H49" s="4">
        <v>0</v>
      </c>
      <c r="I49" s="4">
        <v>100</v>
      </c>
      <c r="J49" s="4" t="s">
        <v>35</v>
      </c>
      <c r="K49" s="4" t="s">
        <v>35</v>
      </c>
      <c r="L49" s="4">
        <v>50</v>
      </c>
      <c r="M49" s="4">
        <v>35</v>
      </c>
      <c r="N49" s="4">
        <v>30</v>
      </c>
      <c r="O49" s="4">
        <v>30</v>
      </c>
      <c r="P49" s="4">
        <v>35</v>
      </c>
      <c r="Q49" s="4">
        <v>40</v>
      </c>
      <c r="R49" s="4">
        <v>0</v>
      </c>
      <c r="S49" s="4">
        <v>0</v>
      </c>
      <c r="T49" s="4">
        <v>0</v>
      </c>
      <c r="U49" s="4" t="s">
        <v>53</v>
      </c>
      <c r="V49" s="4" t="s">
        <v>43</v>
      </c>
      <c r="W49" s="4" t="s">
        <v>35</v>
      </c>
      <c r="X49" s="4" t="s">
        <v>35</v>
      </c>
      <c r="Y49" s="4">
        <v>19</v>
      </c>
      <c r="Z49" s="4">
        <v>13</v>
      </c>
      <c r="AA49" s="4">
        <v>0</v>
      </c>
      <c r="AB49" s="4">
        <v>0</v>
      </c>
      <c r="AC49" s="4" t="s">
        <v>231</v>
      </c>
      <c r="AD49" s="4" t="s">
        <v>232</v>
      </c>
      <c r="AE49" s="4">
        <v>9</v>
      </c>
      <c r="AF49" s="4">
        <v>55</v>
      </c>
    </row>
    <row r="50" ht="75" spans="1:32">
      <c r="A50" s="4" t="s">
        <v>233</v>
      </c>
      <c r="B50" s="1" t="str">
        <f>_xlfn.DISPIMG("ID_8A9143C6B9854518A3F7C96FE94231A6",1)</f>
        <v>=DISPIMG("ID_8A9143C6B9854518A3F7C96FE94231A6",1)</v>
      </c>
      <c r="C50" s="1" t="s">
        <v>234</v>
      </c>
      <c r="D50" s="4">
        <v>145</v>
      </c>
      <c r="E50" s="4">
        <v>0</v>
      </c>
      <c r="F50" s="4">
        <v>0</v>
      </c>
      <c r="G50" s="4">
        <v>0</v>
      </c>
      <c r="H50" s="4">
        <v>0</v>
      </c>
      <c r="I50" s="4">
        <v>100</v>
      </c>
      <c r="J50" s="4" t="s">
        <v>35</v>
      </c>
      <c r="K50" s="4" t="s">
        <v>35</v>
      </c>
      <c r="L50" s="4">
        <v>50</v>
      </c>
      <c r="M50" s="4">
        <v>40</v>
      </c>
      <c r="N50" s="4">
        <v>35</v>
      </c>
      <c r="O50" s="4">
        <v>35</v>
      </c>
      <c r="P50" s="4">
        <v>40</v>
      </c>
      <c r="Q50" s="4">
        <v>40</v>
      </c>
      <c r="R50" s="4">
        <v>0</v>
      </c>
      <c r="S50" s="4">
        <v>0</v>
      </c>
      <c r="T50" s="4">
        <v>0</v>
      </c>
      <c r="U50" s="4" t="s">
        <v>43</v>
      </c>
      <c r="V50" s="4" t="s">
        <v>43</v>
      </c>
      <c r="W50" s="4" t="s">
        <v>35</v>
      </c>
      <c r="X50" s="4" t="s">
        <v>35</v>
      </c>
      <c r="Y50" s="4">
        <v>19</v>
      </c>
      <c r="Z50" s="4">
        <v>11</v>
      </c>
      <c r="AA50" s="4">
        <v>0</v>
      </c>
      <c r="AB50" s="4">
        <v>0</v>
      </c>
      <c r="AC50" s="4" t="s">
        <v>193</v>
      </c>
      <c r="AD50" s="4" t="s">
        <v>235</v>
      </c>
      <c r="AE50" s="4">
        <v>10</v>
      </c>
      <c r="AF50" s="4">
        <v>80</v>
      </c>
    </row>
    <row r="51" ht="75" spans="1:32">
      <c r="A51" s="4" t="s">
        <v>236</v>
      </c>
      <c r="B51" s="1" t="str">
        <f>_xlfn.DISPIMG("ID_C203FF4328EE4483813965899C6193A2",1)</f>
        <v>=DISPIMG("ID_C203FF4328EE4483813965899C6193A2",1)</v>
      </c>
      <c r="C51" s="1" t="s">
        <v>234</v>
      </c>
      <c r="D51" s="4">
        <v>159</v>
      </c>
      <c r="E51" s="4">
        <v>0</v>
      </c>
      <c r="F51" s="4">
        <v>0</v>
      </c>
      <c r="G51" s="4">
        <v>0</v>
      </c>
      <c r="H51" s="4">
        <v>0</v>
      </c>
      <c r="I51" s="4">
        <v>100</v>
      </c>
      <c r="J51" s="4" t="s">
        <v>35</v>
      </c>
      <c r="K51" s="4" t="s">
        <v>35</v>
      </c>
      <c r="L51" s="4">
        <v>65</v>
      </c>
      <c r="M51" s="4">
        <v>50</v>
      </c>
      <c r="N51" s="4">
        <v>45</v>
      </c>
      <c r="O51" s="4">
        <v>45</v>
      </c>
      <c r="P51" s="4">
        <v>50</v>
      </c>
      <c r="Q51" s="4">
        <v>45</v>
      </c>
      <c r="R51" s="4">
        <v>0</v>
      </c>
      <c r="S51" s="4">
        <v>0</v>
      </c>
      <c r="T51" s="4">
        <v>0</v>
      </c>
      <c r="U51" s="4" t="s">
        <v>43</v>
      </c>
      <c r="V51" s="4" t="s">
        <v>43</v>
      </c>
      <c r="W51" s="4" t="s">
        <v>35</v>
      </c>
      <c r="X51" s="4" t="s">
        <v>35</v>
      </c>
      <c r="Y51" s="4">
        <v>28</v>
      </c>
      <c r="Z51" s="4">
        <v>10</v>
      </c>
      <c r="AA51" s="4">
        <v>0</v>
      </c>
      <c r="AB51" s="4">
        <v>0</v>
      </c>
      <c r="AC51" s="4" t="s">
        <v>193</v>
      </c>
      <c r="AD51" s="4" t="s">
        <v>237</v>
      </c>
      <c r="AE51" s="4">
        <v>20</v>
      </c>
      <c r="AF51" s="4">
        <v>100</v>
      </c>
    </row>
    <row r="52" ht="75" spans="1:32">
      <c r="A52" s="4" t="s">
        <v>238</v>
      </c>
      <c r="B52" s="1" t="str">
        <f>_xlfn.DISPIMG("ID_B0B62A2818E745109A30D8CEA00E9588",1)</f>
        <v>=DISPIMG("ID_B0B62A2818E745109A30D8CEA00E9588",1)</v>
      </c>
      <c r="C52" s="1" t="s">
        <v>234</v>
      </c>
      <c r="D52" s="4">
        <v>132</v>
      </c>
      <c r="E52" s="4">
        <v>0</v>
      </c>
      <c r="F52" s="4">
        <v>0</v>
      </c>
      <c r="G52" s="4">
        <v>0</v>
      </c>
      <c r="H52" s="4">
        <v>0</v>
      </c>
      <c r="I52" s="4">
        <v>100</v>
      </c>
      <c r="J52" s="4" t="s">
        <v>35</v>
      </c>
      <c r="K52" s="4" t="s">
        <v>35</v>
      </c>
      <c r="L52" s="4">
        <v>50</v>
      </c>
      <c r="M52" s="4">
        <v>40</v>
      </c>
      <c r="N52" s="4">
        <v>35</v>
      </c>
      <c r="O52" s="4">
        <v>35</v>
      </c>
      <c r="P52" s="4">
        <v>40</v>
      </c>
      <c r="Q52" s="4">
        <v>40</v>
      </c>
      <c r="R52" s="4">
        <v>0</v>
      </c>
      <c r="S52" s="4">
        <v>0</v>
      </c>
      <c r="T52" s="4">
        <v>0</v>
      </c>
      <c r="U52" s="4" t="s">
        <v>43</v>
      </c>
      <c r="V52" s="4" t="s">
        <v>53</v>
      </c>
      <c r="W52" s="4" t="s">
        <v>35</v>
      </c>
      <c r="X52" s="4" t="s">
        <v>35</v>
      </c>
      <c r="Y52" s="4">
        <v>16</v>
      </c>
      <c r="Z52" s="4">
        <v>18</v>
      </c>
      <c r="AA52" s="4">
        <v>0</v>
      </c>
      <c r="AB52" s="4">
        <v>0</v>
      </c>
      <c r="AC52" s="4" t="s">
        <v>239</v>
      </c>
      <c r="AD52" s="4" t="s">
        <v>194</v>
      </c>
      <c r="AE52" s="4">
        <v>8</v>
      </c>
      <c r="AF52" s="4">
        <v>75</v>
      </c>
    </row>
    <row r="53" ht="75" spans="1:32">
      <c r="A53" s="4" t="s">
        <v>240</v>
      </c>
      <c r="B53" s="1" t="str">
        <f>_xlfn.DISPIMG("ID_E371945C420B412BBCAB33F5500FA007",1)</f>
        <v>=DISPIMG("ID_E371945C420B412BBCAB33F5500FA007",1)</v>
      </c>
      <c r="C53" s="1" t="s">
        <v>234</v>
      </c>
      <c r="D53" s="4">
        <v>131</v>
      </c>
      <c r="E53" s="4">
        <v>0</v>
      </c>
      <c r="F53" s="4">
        <v>0</v>
      </c>
      <c r="G53" s="4">
        <v>87</v>
      </c>
      <c r="H53" s="4">
        <v>0</v>
      </c>
      <c r="I53" s="4">
        <v>100</v>
      </c>
      <c r="J53" s="4" t="s">
        <v>35</v>
      </c>
      <c r="K53" s="4" t="s">
        <v>35</v>
      </c>
      <c r="L53" s="4">
        <v>55</v>
      </c>
      <c r="M53" s="4">
        <v>45</v>
      </c>
      <c r="N53" s="4">
        <v>40</v>
      </c>
      <c r="O53" s="4">
        <v>45</v>
      </c>
      <c r="P53" s="4">
        <v>45</v>
      </c>
      <c r="Q53" s="4">
        <v>45</v>
      </c>
      <c r="R53" s="4">
        <v>0</v>
      </c>
      <c r="S53" s="4">
        <v>0</v>
      </c>
      <c r="T53" s="4">
        <v>0</v>
      </c>
      <c r="U53" s="4" t="s">
        <v>43</v>
      </c>
      <c r="V53" s="4" t="s">
        <v>43</v>
      </c>
      <c r="W53" s="4" t="s">
        <v>35</v>
      </c>
      <c r="X53" s="4" t="s">
        <v>35</v>
      </c>
      <c r="Y53" s="4">
        <v>24</v>
      </c>
      <c r="Z53" s="4">
        <v>16</v>
      </c>
      <c r="AA53" s="4">
        <v>0</v>
      </c>
      <c r="AB53" s="4">
        <v>0</v>
      </c>
      <c r="AC53" s="4" t="s">
        <v>193</v>
      </c>
      <c r="AD53" s="4" t="s">
        <v>235</v>
      </c>
      <c r="AE53" s="4">
        <v>16.5</v>
      </c>
      <c r="AF53" s="4">
        <v>100</v>
      </c>
    </row>
    <row r="54" ht="75" spans="1:32">
      <c r="A54" s="4" t="s">
        <v>241</v>
      </c>
      <c r="B54" s="1" t="str">
        <f>_xlfn.DISPIMG("ID_14E98E1F93A94DCC85B8493ED9E26EAC",1)</f>
        <v>=DISPIMG("ID_14E98E1F93A94DCC85B8493ED9E26EAC",1)</v>
      </c>
      <c r="C54" s="1" t="s">
        <v>234</v>
      </c>
      <c r="D54" s="4">
        <v>185</v>
      </c>
      <c r="E54" s="4">
        <v>0</v>
      </c>
      <c r="F54" s="4">
        <v>0</v>
      </c>
      <c r="G54" s="4">
        <v>0</v>
      </c>
      <c r="H54" s="4">
        <v>0</v>
      </c>
      <c r="I54" s="4">
        <v>100</v>
      </c>
      <c r="J54" s="4" t="s">
        <v>35</v>
      </c>
      <c r="K54" s="4" t="s">
        <v>35</v>
      </c>
      <c r="L54" s="4">
        <v>65</v>
      </c>
      <c r="M54" s="4">
        <v>50</v>
      </c>
      <c r="N54" s="4">
        <v>50</v>
      </c>
      <c r="O54" s="4">
        <v>45</v>
      </c>
      <c r="P54" s="4">
        <v>50</v>
      </c>
      <c r="Q54" s="4">
        <v>45</v>
      </c>
      <c r="R54" s="4">
        <v>0</v>
      </c>
      <c r="S54" s="4">
        <v>0</v>
      </c>
      <c r="T54" s="4">
        <v>0</v>
      </c>
      <c r="U54" s="4" t="s">
        <v>53</v>
      </c>
      <c r="V54" s="4" t="s">
        <v>43</v>
      </c>
      <c r="W54" s="4" t="s">
        <v>35</v>
      </c>
      <c r="X54" s="4" t="s">
        <v>35</v>
      </c>
      <c r="Y54" s="4">
        <v>30</v>
      </c>
      <c r="Z54" s="4">
        <v>18</v>
      </c>
      <c r="AA54" s="4">
        <v>0</v>
      </c>
      <c r="AB54" s="4">
        <v>0</v>
      </c>
      <c r="AC54" s="4" t="s">
        <v>193</v>
      </c>
      <c r="AD54" s="4" t="s">
        <v>242</v>
      </c>
      <c r="AE54" s="4">
        <v>16</v>
      </c>
      <c r="AF54" s="4">
        <v>115</v>
      </c>
    </row>
    <row r="55" ht="75" spans="1:32">
      <c r="A55" s="4" t="s">
        <v>243</v>
      </c>
      <c r="B55" s="1" t="str">
        <f>_xlfn.DISPIMG("ID_3605F8BDFD364A7C83B2CEB1BF27D61F",1)</f>
        <v>=DISPIMG("ID_3605F8BDFD364A7C83B2CEB1BF27D61F",1)</v>
      </c>
      <c r="C55" s="1" t="s">
        <v>234</v>
      </c>
      <c r="D55" s="4">
        <v>161</v>
      </c>
      <c r="E55" s="4">
        <v>0</v>
      </c>
      <c r="F55" s="4">
        <v>0</v>
      </c>
      <c r="G55" s="4">
        <v>0</v>
      </c>
      <c r="H55" s="4">
        <v>0</v>
      </c>
      <c r="I55" s="4">
        <v>100</v>
      </c>
      <c r="J55" s="4" t="s">
        <v>35</v>
      </c>
      <c r="K55" s="4" t="s">
        <v>35</v>
      </c>
      <c r="L55" s="4">
        <v>55</v>
      </c>
      <c r="M55" s="4">
        <v>45</v>
      </c>
      <c r="N55" s="4">
        <v>40</v>
      </c>
      <c r="O55" s="4">
        <v>40</v>
      </c>
      <c r="P55" s="4">
        <v>45</v>
      </c>
      <c r="Q55" s="4">
        <v>45</v>
      </c>
      <c r="R55" s="4">
        <v>0</v>
      </c>
      <c r="S55" s="4">
        <v>0</v>
      </c>
      <c r="T55" s="4">
        <v>0</v>
      </c>
      <c r="U55" s="4" t="s">
        <v>53</v>
      </c>
      <c r="V55" s="4" t="s">
        <v>43</v>
      </c>
      <c r="W55" s="4" t="s">
        <v>35</v>
      </c>
      <c r="X55" s="4" t="s">
        <v>35</v>
      </c>
      <c r="Y55" s="4">
        <v>22</v>
      </c>
      <c r="Z55" s="4">
        <v>10</v>
      </c>
      <c r="AA55" s="4">
        <v>0</v>
      </c>
      <c r="AB55" s="4">
        <v>0</v>
      </c>
      <c r="AC55" s="4" t="s">
        <v>244</v>
      </c>
      <c r="AD55" s="4" t="s">
        <v>245</v>
      </c>
      <c r="AE55" s="4">
        <v>13.5</v>
      </c>
      <c r="AF55" s="4">
        <v>100</v>
      </c>
    </row>
    <row r="56" ht="75" spans="1:32">
      <c r="A56" s="4" t="s">
        <v>246</v>
      </c>
      <c r="B56" s="1" t="str">
        <f>_xlfn.DISPIMG("ID_FCD3705DA33A407E8815AA9B94013DE0",1)</f>
        <v>=DISPIMG("ID_FCD3705DA33A407E8815AA9B94013DE0",1)</v>
      </c>
      <c r="C56" s="1" t="s">
        <v>234</v>
      </c>
      <c r="D56" s="4">
        <v>149</v>
      </c>
      <c r="E56" s="4">
        <v>0</v>
      </c>
      <c r="F56" s="4">
        <v>0</v>
      </c>
      <c r="G56" s="4">
        <v>0</v>
      </c>
      <c r="H56" s="4">
        <v>0</v>
      </c>
      <c r="I56" s="4">
        <v>100</v>
      </c>
      <c r="J56" s="4" t="s">
        <v>35</v>
      </c>
      <c r="K56" s="4" t="s">
        <v>35</v>
      </c>
      <c r="L56" s="4">
        <v>60</v>
      </c>
      <c r="M56" s="4">
        <v>50</v>
      </c>
      <c r="N56" s="4">
        <v>40</v>
      </c>
      <c r="O56" s="4">
        <v>40</v>
      </c>
      <c r="P56" s="4">
        <v>50</v>
      </c>
      <c r="Q56" s="4">
        <v>45</v>
      </c>
      <c r="R56" s="4">
        <v>0</v>
      </c>
      <c r="S56" s="4">
        <v>0</v>
      </c>
      <c r="T56" s="4">
        <v>0</v>
      </c>
      <c r="U56" s="4" t="s">
        <v>53</v>
      </c>
      <c r="V56" s="4" t="s">
        <v>34</v>
      </c>
      <c r="W56" s="4" t="s">
        <v>35</v>
      </c>
      <c r="X56" s="4" t="s">
        <v>35</v>
      </c>
      <c r="Y56" s="4">
        <v>26</v>
      </c>
      <c r="Z56" s="4">
        <v>10</v>
      </c>
      <c r="AA56" s="4">
        <v>0</v>
      </c>
      <c r="AB56" s="4">
        <v>0</v>
      </c>
      <c r="AC56" s="4" t="s">
        <v>193</v>
      </c>
      <c r="AD56" s="4" t="s">
        <v>237</v>
      </c>
      <c r="AE56" s="4">
        <v>15</v>
      </c>
      <c r="AF56" s="4">
        <v>120</v>
      </c>
    </row>
    <row r="57" ht="75" spans="1:32">
      <c r="A57" s="4" t="s">
        <v>247</v>
      </c>
      <c r="B57" s="1" t="str">
        <f>_xlfn.DISPIMG("ID_2B7075D0FED0479A8CE83AF4E10A18CC",1)</f>
        <v>=DISPIMG("ID_2B7075D0FED0479A8CE83AF4E10A18CC",1)</v>
      </c>
      <c r="C57" s="1" t="s">
        <v>234</v>
      </c>
      <c r="D57" s="4">
        <v>125</v>
      </c>
      <c r="E57" s="4">
        <v>0</v>
      </c>
      <c r="F57" s="4">
        <v>0</v>
      </c>
      <c r="G57" s="4">
        <v>0</v>
      </c>
      <c r="H57" s="4">
        <v>0</v>
      </c>
      <c r="I57" s="4">
        <v>100</v>
      </c>
      <c r="J57" s="4" t="s">
        <v>35</v>
      </c>
      <c r="K57" s="4" t="s">
        <v>35</v>
      </c>
      <c r="L57" s="4">
        <v>55</v>
      </c>
      <c r="M57" s="4">
        <v>45</v>
      </c>
      <c r="N57" s="4">
        <v>40</v>
      </c>
      <c r="O57" s="4">
        <v>40</v>
      </c>
      <c r="P57" s="4">
        <v>45</v>
      </c>
      <c r="Q57" s="4">
        <v>45</v>
      </c>
      <c r="R57" s="4">
        <v>0</v>
      </c>
      <c r="S57" s="4">
        <v>0</v>
      </c>
      <c r="T57" s="4">
        <v>0</v>
      </c>
      <c r="U57" s="4" t="s">
        <v>43</v>
      </c>
      <c r="V57" s="4" t="s">
        <v>53</v>
      </c>
      <c r="W57" s="4" t="s">
        <v>35</v>
      </c>
      <c r="X57" s="4" t="s">
        <v>35</v>
      </c>
      <c r="Y57" s="4">
        <v>18</v>
      </c>
      <c r="Z57" s="4">
        <v>20</v>
      </c>
      <c r="AA57" s="4">
        <v>0</v>
      </c>
      <c r="AB57" s="4">
        <v>0</v>
      </c>
      <c r="AC57" s="4" t="s">
        <v>158</v>
      </c>
      <c r="AD57" s="4" t="s">
        <v>150</v>
      </c>
      <c r="AE57" s="4">
        <v>12.5</v>
      </c>
      <c r="AF57" s="4">
        <v>90</v>
      </c>
    </row>
    <row r="58" ht="75" spans="1:32">
      <c r="A58" s="4" t="s">
        <v>248</v>
      </c>
      <c r="B58" s="1" t="str">
        <f>_xlfn.DISPIMG("ID_CBD676873C9D4C7A8E71F2054B3B53BB",1)</f>
        <v>=DISPIMG("ID_CBD676873C9D4C7A8E71F2054B3B53BB",1)</v>
      </c>
      <c r="C58" s="1" t="s">
        <v>234</v>
      </c>
      <c r="D58" s="4">
        <v>151</v>
      </c>
      <c r="E58" s="4">
        <v>0</v>
      </c>
      <c r="F58" s="4">
        <v>79</v>
      </c>
      <c r="G58" s="4">
        <v>0</v>
      </c>
      <c r="H58" s="4">
        <v>0</v>
      </c>
      <c r="I58" s="4">
        <v>100</v>
      </c>
      <c r="J58" s="4" t="s">
        <v>35</v>
      </c>
      <c r="K58" s="4" t="s">
        <v>35</v>
      </c>
      <c r="L58" s="4">
        <v>60</v>
      </c>
      <c r="M58" s="4">
        <v>45</v>
      </c>
      <c r="N58" s="4">
        <v>40</v>
      </c>
      <c r="O58" s="4">
        <v>40</v>
      </c>
      <c r="P58" s="4">
        <v>45</v>
      </c>
      <c r="Q58" s="4">
        <v>45</v>
      </c>
      <c r="R58" s="4">
        <v>0</v>
      </c>
      <c r="S58" s="4">
        <v>0</v>
      </c>
      <c r="T58" s="4">
        <v>0</v>
      </c>
      <c r="U58" s="4" t="s">
        <v>43</v>
      </c>
      <c r="V58" s="4" t="s">
        <v>43</v>
      </c>
      <c r="W58" s="4" t="s">
        <v>43</v>
      </c>
      <c r="X58" s="4" t="s">
        <v>43</v>
      </c>
      <c r="Y58" s="4">
        <v>26</v>
      </c>
      <c r="Z58" s="4">
        <v>10</v>
      </c>
      <c r="AA58" s="4">
        <v>0</v>
      </c>
      <c r="AB58" s="4">
        <v>0</v>
      </c>
      <c r="AC58" s="4" t="s">
        <v>249</v>
      </c>
      <c r="AD58" s="4" t="s">
        <v>250</v>
      </c>
      <c r="AE58" s="4">
        <v>14</v>
      </c>
      <c r="AF58" s="4">
        <v>115</v>
      </c>
    </row>
    <row r="59" ht="75" spans="1:32">
      <c r="A59" s="4" t="s">
        <v>251</v>
      </c>
      <c r="B59" s="1" t="str">
        <f>_xlfn.DISPIMG("ID_217A345781A74A28ABD3F7360B736220",1)</f>
        <v>=DISPIMG("ID_217A345781A74A28ABD3F7360B736220",1)</v>
      </c>
      <c r="C59" s="1" t="s">
        <v>234</v>
      </c>
      <c r="D59" s="4">
        <v>149</v>
      </c>
      <c r="E59" s="4">
        <v>0</v>
      </c>
      <c r="F59" s="4">
        <v>0</v>
      </c>
      <c r="G59" s="4">
        <v>0</v>
      </c>
      <c r="H59" s="4">
        <v>0</v>
      </c>
      <c r="I59" s="4">
        <v>100</v>
      </c>
      <c r="J59" s="4" t="s">
        <v>35</v>
      </c>
      <c r="K59" s="4" t="s">
        <v>35</v>
      </c>
      <c r="L59" s="4">
        <v>80</v>
      </c>
      <c r="M59" s="4">
        <v>55</v>
      </c>
      <c r="N59" s="4">
        <v>65</v>
      </c>
      <c r="O59" s="4">
        <v>60</v>
      </c>
      <c r="P59" s="4">
        <v>65</v>
      </c>
      <c r="Q59" s="4">
        <v>55</v>
      </c>
      <c r="R59" s="4">
        <v>0</v>
      </c>
      <c r="S59" s="4">
        <v>0</v>
      </c>
      <c r="T59" s="4">
        <v>0</v>
      </c>
      <c r="U59" s="4" t="s">
        <v>46</v>
      </c>
      <c r="V59" s="4" t="s">
        <v>34</v>
      </c>
      <c r="W59" s="4" t="s">
        <v>35</v>
      </c>
      <c r="X59" s="4" t="s">
        <v>35</v>
      </c>
      <c r="Y59" s="4">
        <v>50</v>
      </c>
      <c r="Z59" s="4">
        <v>10</v>
      </c>
      <c r="AA59" s="4">
        <v>0</v>
      </c>
      <c r="AB59" s="4">
        <v>0</v>
      </c>
      <c r="AC59" s="4" t="s">
        <v>193</v>
      </c>
      <c r="AD59" s="4" t="s">
        <v>250</v>
      </c>
      <c r="AE59" s="4">
        <v>25.5</v>
      </c>
      <c r="AF59" s="4">
        <v>170</v>
      </c>
    </row>
    <row r="60" ht="75" spans="1:32">
      <c r="A60" s="4" t="s">
        <v>252</v>
      </c>
      <c r="B60" s="1" t="str">
        <f>_xlfn.DISPIMG("ID_0583FF2F61264BAC8D21E3C29E415156",1)</f>
        <v>=DISPIMG("ID_0583FF2F61264BAC8D21E3C29E415156",1)</v>
      </c>
      <c r="C60" s="1" t="s">
        <v>234</v>
      </c>
      <c r="D60" s="4">
        <v>185</v>
      </c>
      <c r="E60" s="4">
        <v>0</v>
      </c>
      <c r="F60" s="4">
        <v>11</v>
      </c>
      <c r="G60" s="4">
        <v>0</v>
      </c>
      <c r="H60" s="4">
        <v>0</v>
      </c>
      <c r="I60" s="4">
        <v>100</v>
      </c>
      <c r="J60" s="4" t="s">
        <v>35</v>
      </c>
      <c r="K60" s="4" t="s">
        <v>35</v>
      </c>
      <c r="L60" s="4">
        <v>50</v>
      </c>
      <c r="M60" s="4">
        <v>40</v>
      </c>
      <c r="N60" s="4">
        <v>35</v>
      </c>
      <c r="O60" s="4">
        <v>35</v>
      </c>
      <c r="P60" s="4">
        <v>40</v>
      </c>
      <c r="Q60" s="4">
        <v>40</v>
      </c>
      <c r="R60" s="4">
        <v>0</v>
      </c>
      <c r="S60" s="4">
        <v>0</v>
      </c>
      <c r="T60" s="4">
        <v>0</v>
      </c>
      <c r="U60" s="4" t="s">
        <v>53</v>
      </c>
      <c r="V60" s="4" t="s">
        <v>43</v>
      </c>
      <c r="W60" s="4" t="s">
        <v>34</v>
      </c>
      <c r="X60" s="4" t="s">
        <v>34</v>
      </c>
      <c r="Y60" s="4">
        <v>40</v>
      </c>
      <c r="Z60" s="4">
        <v>15</v>
      </c>
      <c r="AA60" s="4">
        <v>0</v>
      </c>
      <c r="AB60" s="4">
        <v>0</v>
      </c>
      <c r="AC60" s="4" t="s">
        <v>203</v>
      </c>
      <c r="AD60" s="4" t="s">
        <v>253</v>
      </c>
      <c r="AE60" s="4">
        <v>22.5</v>
      </c>
      <c r="AF60" s="4">
        <v>90</v>
      </c>
    </row>
    <row r="61" ht="75" spans="1:32">
      <c r="A61" s="4" t="s">
        <v>254</v>
      </c>
      <c r="B61" s="1" t="str">
        <f>_xlfn.DISPIMG("ID_5843208957B641BFAD3AF02AD6A675DA",1)</f>
        <v>=DISPIMG("ID_5843208957B641BFAD3AF02AD6A675DA",1)</v>
      </c>
      <c r="C61" s="1" t="s">
        <v>255</v>
      </c>
      <c r="D61" s="4">
        <v>103</v>
      </c>
      <c r="E61" s="4">
        <v>0</v>
      </c>
      <c r="F61" s="4">
        <v>0</v>
      </c>
      <c r="G61" s="4">
        <v>0</v>
      </c>
      <c r="H61" s="4">
        <v>0</v>
      </c>
      <c r="I61" s="4">
        <v>100</v>
      </c>
      <c r="J61" s="4" t="s">
        <v>35</v>
      </c>
      <c r="K61" s="4" t="s">
        <v>35</v>
      </c>
      <c r="L61" s="4">
        <v>40</v>
      </c>
      <c r="M61" s="4">
        <v>30</v>
      </c>
      <c r="N61" s="4">
        <v>25</v>
      </c>
      <c r="O61" s="4">
        <v>25</v>
      </c>
      <c r="P61" s="4">
        <v>30</v>
      </c>
      <c r="Q61" s="4">
        <v>25</v>
      </c>
      <c r="R61" s="4">
        <v>0</v>
      </c>
      <c r="S61" s="4">
        <v>36</v>
      </c>
      <c r="T61" s="4">
        <v>0</v>
      </c>
      <c r="U61" s="4" t="s">
        <v>34</v>
      </c>
      <c r="V61" s="4" t="s">
        <v>53</v>
      </c>
      <c r="W61" s="4" t="s">
        <v>35</v>
      </c>
      <c r="X61" s="4" t="s">
        <v>35</v>
      </c>
      <c r="Y61" s="4">
        <v>10</v>
      </c>
      <c r="Z61" s="4">
        <v>13</v>
      </c>
      <c r="AA61" s="4">
        <v>0</v>
      </c>
      <c r="AB61" s="4">
        <v>0</v>
      </c>
      <c r="AC61" s="4" t="s">
        <v>198</v>
      </c>
      <c r="AD61" s="4" t="s">
        <v>256</v>
      </c>
      <c r="AE61" s="4">
        <v>2</v>
      </c>
      <c r="AF61" s="4">
        <v>55</v>
      </c>
    </row>
    <row r="62" ht="75" spans="1:32">
      <c r="A62" s="4" t="s">
        <v>257</v>
      </c>
      <c r="B62" s="1" t="str">
        <f>_xlfn.DISPIMG("ID_CC541E469C5242FBB1761E52C13EBC06",1)</f>
        <v>=DISPIMG("ID_CC541E469C5242FBB1761E52C13EBC06",1)</v>
      </c>
      <c r="C62" s="1" t="s">
        <v>255</v>
      </c>
      <c r="D62" s="4">
        <v>104</v>
      </c>
      <c r="E62" s="4">
        <v>0</v>
      </c>
      <c r="F62" s="4">
        <v>0</v>
      </c>
      <c r="G62" s="4">
        <v>0</v>
      </c>
      <c r="H62" s="4">
        <v>0</v>
      </c>
      <c r="I62" s="4">
        <v>100</v>
      </c>
      <c r="J62" s="4" t="s">
        <v>35</v>
      </c>
      <c r="K62" s="4" t="s">
        <v>35</v>
      </c>
      <c r="L62" s="4">
        <v>40</v>
      </c>
      <c r="M62" s="4">
        <v>30</v>
      </c>
      <c r="N62" s="4">
        <v>25</v>
      </c>
      <c r="O62" s="4">
        <v>25</v>
      </c>
      <c r="P62" s="4">
        <v>30</v>
      </c>
      <c r="Q62" s="4">
        <v>25</v>
      </c>
      <c r="R62" s="4">
        <v>0</v>
      </c>
      <c r="S62" s="4">
        <v>0</v>
      </c>
      <c r="T62" s="4">
        <v>0</v>
      </c>
      <c r="U62" s="4" t="s">
        <v>34</v>
      </c>
      <c r="V62" s="4" t="s">
        <v>53</v>
      </c>
      <c r="W62" s="4" t="s">
        <v>35</v>
      </c>
      <c r="X62" s="4" t="s">
        <v>35</v>
      </c>
      <c r="Y62" s="4">
        <v>9</v>
      </c>
      <c r="Z62" s="4">
        <v>14</v>
      </c>
      <c r="AA62" s="4">
        <v>0</v>
      </c>
      <c r="AB62" s="4">
        <v>0</v>
      </c>
      <c r="AC62" s="4" t="s">
        <v>198</v>
      </c>
      <c r="AD62" s="4" t="s">
        <v>258</v>
      </c>
      <c r="AE62" s="4">
        <v>2.5</v>
      </c>
      <c r="AF62" s="4">
        <v>55</v>
      </c>
    </row>
    <row r="63" ht="75" spans="1:32">
      <c r="A63" s="4" t="s">
        <v>259</v>
      </c>
      <c r="B63" s="1" t="str">
        <f>_xlfn.DISPIMG("ID_35F3913C8DD44D3085151E123C1D65F0",1)</f>
        <v>=DISPIMG("ID_35F3913C8DD44D3085151E123C1D65F0",1)</v>
      </c>
      <c r="C63" s="1" t="s">
        <v>255</v>
      </c>
      <c r="D63" s="4">
        <v>90</v>
      </c>
      <c r="E63" s="4">
        <v>0</v>
      </c>
      <c r="F63" s="4">
        <v>0</v>
      </c>
      <c r="G63" s="4">
        <v>0</v>
      </c>
      <c r="H63" s="4">
        <v>0</v>
      </c>
      <c r="I63" s="4">
        <v>100</v>
      </c>
      <c r="J63" s="4" t="s">
        <v>35</v>
      </c>
      <c r="K63" s="4" t="s">
        <v>35</v>
      </c>
      <c r="L63" s="4">
        <v>40</v>
      </c>
      <c r="M63" s="4">
        <v>30</v>
      </c>
      <c r="N63" s="4">
        <v>25</v>
      </c>
      <c r="O63" s="4">
        <v>25</v>
      </c>
      <c r="P63" s="4">
        <v>30</v>
      </c>
      <c r="Q63" s="4">
        <v>25</v>
      </c>
      <c r="R63" s="4">
        <v>0</v>
      </c>
      <c r="S63" s="4">
        <v>0</v>
      </c>
      <c r="T63" s="4">
        <v>0</v>
      </c>
      <c r="U63" s="4" t="s">
        <v>34</v>
      </c>
      <c r="V63" s="4" t="s">
        <v>53</v>
      </c>
      <c r="W63" s="4" t="s">
        <v>35</v>
      </c>
      <c r="X63" s="4" t="s">
        <v>35</v>
      </c>
      <c r="Y63" s="4">
        <v>7</v>
      </c>
      <c r="Z63" s="4">
        <v>13</v>
      </c>
      <c r="AA63" s="4">
        <v>0</v>
      </c>
      <c r="AB63" s="4">
        <v>0</v>
      </c>
      <c r="AC63" s="4" t="s">
        <v>198</v>
      </c>
      <c r="AD63" s="4" t="s">
        <v>260</v>
      </c>
      <c r="AE63" s="4">
        <v>2.5</v>
      </c>
      <c r="AF63" s="4">
        <v>60</v>
      </c>
    </row>
    <row r="64" ht="75" spans="1:32">
      <c r="A64" s="4" t="s">
        <v>261</v>
      </c>
      <c r="B64" s="1" t="str">
        <f>_xlfn.DISPIMG("ID_3518579947B248FB84088B9029A20A75",1)</f>
        <v>=DISPIMG("ID_3518579947B248FB84088B9029A20A75",1)</v>
      </c>
      <c r="C64" s="1" t="s">
        <v>255</v>
      </c>
      <c r="D64" s="4">
        <v>117</v>
      </c>
      <c r="E64" s="4">
        <v>0</v>
      </c>
      <c r="F64" s="4">
        <v>0</v>
      </c>
      <c r="G64" s="4">
        <v>0</v>
      </c>
      <c r="H64" s="4">
        <v>0</v>
      </c>
      <c r="I64" s="4">
        <v>100</v>
      </c>
      <c r="J64" s="4" t="s">
        <v>35</v>
      </c>
      <c r="K64" s="4" t="s">
        <v>35</v>
      </c>
      <c r="L64" s="4">
        <v>45</v>
      </c>
      <c r="M64" s="4">
        <v>30</v>
      </c>
      <c r="N64" s="4">
        <v>25</v>
      </c>
      <c r="O64" s="4">
        <v>25</v>
      </c>
      <c r="P64" s="4">
        <v>30</v>
      </c>
      <c r="Q64" s="4">
        <v>35</v>
      </c>
      <c r="R64" s="4">
        <v>0</v>
      </c>
      <c r="S64" s="4">
        <v>0</v>
      </c>
      <c r="T64" s="4">
        <v>0</v>
      </c>
      <c r="U64" s="4" t="s">
        <v>43</v>
      </c>
      <c r="V64" s="4" t="s">
        <v>43</v>
      </c>
      <c r="W64" s="4" t="s">
        <v>35</v>
      </c>
      <c r="X64" s="4" t="s">
        <v>35</v>
      </c>
      <c r="Y64" s="4">
        <v>9</v>
      </c>
      <c r="Z64" s="4">
        <v>13</v>
      </c>
      <c r="AA64" s="4">
        <v>0</v>
      </c>
      <c r="AB64" s="4">
        <v>0</v>
      </c>
      <c r="AC64" s="4" t="s">
        <v>198</v>
      </c>
      <c r="AD64" s="4" t="s">
        <v>256</v>
      </c>
      <c r="AE64" s="4">
        <v>4</v>
      </c>
      <c r="AF64" s="4">
        <v>70</v>
      </c>
    </row>
    <row r="65" ht="75" spans="1:32">
      <c r="A65" s="4" t="s">
        <v>262</v>
      </c>
      <c r="B65" s="1" t="str">
        <f>_xlfn.DISPIMG("ID_02AD0F3CF6CB4A99898594D3F76F2851",1)</f>
        <v>=DISPIMG("ID_02AD0F3CF6CB4A99898594D3F76F2851",1)</v>
      </c>
      <c r="C65" s="1" t="s">
        <v>255</v>
      </c>
      <c r="D65" s="4">
        <v>105</v>
      </c>
      <c r="E65" s="4">
        <v>0</v>
      </c>
      <c r="F65" s="4">
        <v>0</v>
      </c>
      <c r="G65" s="4">
        <v>0</v>
      </c>
      <c r="H65" s="4">
        <v>0</v>
      </c>
      <c r="I65" s="4">
        <v>100</v>
      </c>
      <c r="J65" s="4" t="s">
        <v>35</v>
      </c>
      <c r="K65" s="4" t="s">
        <v>35</v>
      </c>
      <c r="L65" s="4">
        <v>55</v>
      </c>
      <c r="M65" s="4">
        <v>35</v>
      </c>
      <c r="N65" s="4">
        <v>30</v>
      </c>
      <c r="O65" s="4">
        <v>30</v>
      </c>
      <c r="P65" s="4">
        <v>35</v>
      </c>
      <c r="Q65" s="4">
        <v>35</v>
      </c>
      <c r="R65" s="4">
        <v>30</v>
      </c>
      <c r="S65" s="4">
        <v>0</v>
      </c>
      <c r="T65" s="4">
        <v>0</v>
      </c>
      <c r="U65" s="4" t="s">
        <v>43</v>
      </c>
      <c r="V65" s="4" t="s">
        <v>43</v>
      </c>
      <c r="W65" s="4" t="s">
        <v>35</v>
      </c>
      <c r="X65" s="4" t="s">
        <v>35</v>
      </c>
      <c r="Y65" s="4">
        <v>15</v>
      </c>
      <c r="Z65" s="4">
        <v>18</v>
      </c>
      <c r="AA65" s="4">
        <v>0</v>
      </c>
      <c r="AB65" s="4">
        <v>0</v>
      </c>
      <c r="AC65" s="4" t="s">
        <v>198</v>
      </c>
      <c r="AD65" s="4" t="s">
        <v>256</v>
      </c>
      <c r="AE65" s="4">
        <v>5.5</v>
      </c>
      <c r="AF65" s="4">
        <v>80</v>
      </c>
    </row>
    <row r="66" ht="75" spans="1:32">
      <c r="A66" s="4" t="s">
        <v>263</v>
      </c>
      <c r="B66" s="1" t="str">
        <f>_xlfn.DISPIMG("ID_3BAA232B3F8A40C9B077BD7A6E5894C9",1)</f>
        <v>=DISPIMG("ID_3BAA232B3F8A40C9B077BD7A6E5894C9",1)</v>
      </c>
      <c r="C66" s="1" t="s">
        <v>255</v>
      </c>
      <c r="D66" s="4">
        <v>123</v>
      </c>
      <c r="E66" s="4">
        <v>0</v>
      </c>
      <c r="F66" s="4">
        <v>0</v>
      </c>
      <c r="G66" s="4">
        <v>0</v>
      </c>
      <c r="H66" s="4">
        <v>0</v>
      </c>
      <c r="I66" s="4">
        <v>100</v>
      </c>
      <c r="J66" s="4" t="s">
        <v>35</v>
      </c>
      <c r="K66" s="4" t="s">
        <v>35</v>
      </c>
      <c r="L66" s="4">
        <v>45</v>
      </c>
      <c r="M66" s="4">
        <v>30</v>
      </c>
      <c r="N66" s="4">
        <v>25</v>
      </c>
      <c r="O66" s="4">
        <v>25</v>
      </c>
      <c r="P66" s="4">
        <v>30</v>
      </c>
      <c r="Q66" s="4">
        <v>30</v>
      </c>
      <c r="R66" s="4">
        <v>0</v>
      </c>
      <c r="S66" s="4">
        <v>0</v>
      </c>
      <c r="T66" s="4">
        <v>0</v>
      </c>
      <c r="U66" s="4" t="s">
        <v>43</v>
      </c>
      <c r="V66" s="4" t="s">
        <v>43</v>
      </c>
      <c r="W66" s="4" t="s">
        <v>35</v>
      </c>
      <c r="X66" s="4" t="s">
        <v>35</v>
      </c>
      <c r="Y66" s="4">
        <v>12</v>
      </c>
      <c r="Z66" s="4">
        <v>18</v>
      </c>
      <c r="AA66" s="4">
        <v>10</v>
      </c>
      <c r="AB66" s="4">
        <v>0</v>
      </c>
      <c r="AC66" s="4" t="s">
        <v>264</v>
      </c>
      <c r="AD66" s="4" t="s">
        <v>265</v>
      </c>
      <c r="AE66" s="4">
        <v>3.5</v>
      </c>
      <c r="AF66" s="4">
        <v>90</v>
      </c>
    </row>
    <row r="67" ht="75" spans="1:32">
      <c r="A67" s="4" t="s">
        <v>266</v>
      </c>
      <c r="B67" s="1" t="str">
        <f>_xlfn.DISPIMG("ID_FC27A0DB5E1E4A6F8DCA4AB30C12717A",1)</f>
        <v>=DISPIMG("ID_FC27A0DB5E1E4A6F8DCA4AB30C12717A",1)</v>
      </c>
      <c r="C67" s="1" t="s">
        <v>255</v>
      </c>
      <c r="D67" s="4">
        <v>110</v>
      </c>
      <c r="E67" s="4">
        <v>0</v>
      </c>
      <c r="F67" s="4">
        <v>0</v>
      </c>
      <c r="G67" s="4">
        <v>0</v>
      </c>
      <c r="H67" s="4">
        <v>0</v>
      </c>
      <c r="I67" s="4">
        <v>100</v>
      </c>
      <c r="J67" s="4" t="s">
        <v>35</v>
      </c>
      <c r="K67" s="4" t="s">
        <v>35</v>
      </c>
      <c r="L67" s="4">
        <v>50</v>
      </c>
      <c r="M67" s="4">
        <v>35</v>
      </c>
      <c r="N67" s="4">
        <v>30</v>
      </c>
      <c r="O67" s="4">
        <v>30</v>
      </c>
      <c r="P67" s="4">
        <v>35</v>
      </c>
      <c r="Q67" s="4">
        <v>35</v>
      </c>
      <c r="R67" s="4">
        <v>0</v>
      </c>
      <c r="S67" s="4">
        <v>0</v>
      </c>
      <c r="T67" s="4">
        <v>0</v>
      </c>
      <c r="U67" s="4" t="s">
        <v>43</v>
      </c>
      <c r="V67" s="4" t="s">
        <v>53</v>
      </c>
      <c r="W67" s="4" t="s">
        <v>35</v>
      </c>
      <c r="X67" s="4" t="s">
        <v>35</v>
      </c>
      <c r="Y67" s="4">
        <v>14</v>
      </c>
      <c r="Z67" s="4">
        <v>20</v>
      </c>
      <c r="AA67" s="4">
        <v>0</v>
      </c>
      <c r="AB67" s="4">
        <v>0</v>
      </c>
      <c r="AC67" s="4" t="s">
        <v>267</v>
      </c>
      <c r="AD67" s="4" t="s">
        <v>268</v>
      </c>
      <c r="AE67" s="4">
        <v>5</v>
      </c>
      <c r="AF67" s="4">
        <v>85</v>
      </c>
    </row>
    <row r="68" ht="75" spans="1:32">
      <c r="A68" s="4" t="s">
        <v>269</v>
      </c>
      <c r="B68" s="1" t="str">
        <f>_xlfn.DISPIMG("ID_90F01061157F47E4952B14643BC26081",1)</f>
        <v>=DISPIMG("ID_90F01061157F47E4952B14643BC26081",1)</v>
      </c>
      <c r="C68" s="1" t="s">
        <v>255</v>
      </c>
      <c r="D68" s="4">
        <v>88</v>
      </c>
      <c r="E68" s="4">
        <v>0</v>
      </c>
      <c r="F68" s="4">
        <v>0</v>
      </c>
      <c r="G68" s="4">
        <v>0</v>
      </c>
      <c r="H68" s="4">
        <v>0</v>
      </c>
      <c r="I68" s="4">
        <v>100</v>
      </c>
      <c r="J68" s="4" t="s">
        <v>35</v>
      </c>
      <c r="K68" s="4" t="s">
        <v>35</v>
      </c>
      <c r="L68" s="4">
        <v>35</v>
      </c>
      <c r="M68" s="4">
        <v>25</v>
      </c>
      <c r="N68" s="4">
        <v>25</v>
      </c>
      <c r="O68" s="4">
        <v>25</v>
      </c>
      <c r="P68" s="4">
        <v>25</v>
      </c>
      <c r="Q68" s="4">
        <v>25</v>
      </c>
      <c r="R68" s="4">
        <v>30</v>
      </c>
      <c r="S68" s="4">
        <v>0</v>
      </c>
      <c r="T68" s="4">
        <v>0</v>
      </c>
      <c r="U68" s="4" t="s">
        <v>34</v>
      </c>
      <c r="V68" s="4" t="s">
        <v>36</v>
      </c>
      <c r="W68" s="4" t="s">
        <v>35</v>
      </c>
      <c r="X68" s="4" t="s">
        <v>35</v>
      </c>
      <c r="Y68" s="4">
        <v>7</v>
      </c>
      <c r="Z68" s="4">
        <v>19</v>
      </c>
      <c r="AA68" s="4">
        <v>0</v>
      </c>
      <c r="AB68" s="4">
        <v>0</v>
      </c>
      <c r="AC68" s="4" t="s">
        <v>270</v>
      </c>
      <c r="AD68" s="4" t="s">
        <v>271</v>
      </c>
      <c r="AE68" s="4">
        <v>1.5</v>
      </c>
      <c r="AF68" s="4">
        <v>55</v>
      </c>
    </row>
    <row r="69" ht="75" spans="1:32">
      <c r="A69" s="4" t="s">
        <v>272</v>
      </c>
      <c r="B69" s="1" t="str">
        <f>_xlfn.DISPIMG("ID_6496772B42D64E52AAF2160C151E57BB",1)</f>
        <v>=DISPIMG("ID_6496772B42D64E52AAF2160C151E57BB",1)</v>
      </c>
      <c r="C69" s="1" t="s">
        <v>255</v>
      </c>
      <c r="D69" s="4">
        <v>78</v>
      </c>
      <c r="E69" s="4">
        <v>78</v>
      </c>
      <c r="F69" s="4">
        <v>0</v>
      </c>
      <c r="G69" s="4">
        <v>0</v>
      </c>
      <c r="H69" s="4">
        <v>0</v>
      </c>
      <c r="I69" s="4">
        <v>100</v>
      </c>
      <c r="J69" s="4" t="s">
        <v>35</v>
      </c>
      <c r="K69" s="4" t="s">
        <v>35</v>
      </c>
      <c r="L69" s="4">
        <v>40</v>
      </c>
      <c r="M69" s="4">
        <v>30</v>
      </c>
      <c r="N69" s="4">
        <v>25</v>
      </c>
      <c r="O69" s="4">
        <v>25</v>
      </c>
      <c r="P69" s="4">
        <v>30</v>
      </c>
      <c r="Q69" s="4">
        <v>25</v>
      </c>
      <c r="R69" s="4">
        <v>0</v>
      </c>
      <c r="S69" s="4">
        <v>0</v>
      </c>
      <c r="T69" s="4">
        <v>0</v>
      </c>
      <c r="U69" s="4" t="s">
        <v>35</v>
      </c>
      <c r="V69" s="4" t="s">
        <v>53</v>
      </c>
      <c r="W69" s="4" t="s">
        <v>43</v>
      </c>
      <c r="X69" s="4" t="s">
        <v>35</v>
      </c>
      <c r="Y69" s="4">
        <v>10</v>
      </c>
      <c r="Z69" s="4">
        <v>16</v>
      </c>
      <c r="AA69" s="4">
        <v>0</v>
      </c>
      <c r="AB69" s="4">
        <v>0</v>
      </c>
      <c r="AC69" s="4" t="s">
        <v>273</v>
      </c>
      <c r="AD69" s="4" t="s">
        <v>51</v>
      </c>
      <c r="AE69" s="4">
        <v>2.5</v>
      </c>
      <c r="AF69" s="4">
        <v>70</v>
      </c>
    </row>
    <row r="70" ht="75" spans="1:32">
      <c r="A70" s="4" t="s">
        <v>274</v>
      </c>
      <c r="B70" s="1" t="str">
        <f>_xlfn.DISPIMG("ID_DAD6D19CF47345A99DF34DE2B3F2E312",1)</f>
        <v>=DISPIMG("ID_DAD6D19CF47345A99DF34DE2B3F2E312",1)</v>
      </c>
      <c r="C70" s="1" t="s">
        <v>255</v>
      </c>
      <c r="D70" s="4">
        <v>106</v>
      </c>
      <c r="E70" s="4">
        <v>0</v>
      </c>
      <c r="F70" s="4">
        <v>0</v>
      </c>
      <c r="G70" s="4">
        <v>0</v>
      </c>
      <c r="H70" s="4">
        <v>0</v>
      </c>
      <c r="I70" s="4">
        <v>100</v>
      </c>
      <c r="J70" s="4" t="s">
        <v>35</v>
      </c>
      <c r="K70" s="4" t="s">
        <v>35</v>
      </c>
      <c r="L70" s="4">
        <v>40</v>
      </c>
      <c r="M70" s="4">
        <v>35</v>
      </c>
      <c r="N70" s="4">
        <v>25</v>
      </c>
      <c r="O70" s="4">
        <v>25</v>
      </c>
      <c r="P70" s="4">
        <v>35</v>
      </c>
      <c r="Q70" s="4">
        <v>30</v>
      </c>
      <c r="R70" s="4">
        <v>30</v>
      </c>
      <c r="S70" s="4">
        <v>0</v>
      </c>
      <c r="T70" s="4">
        <v>0</v>
      </c>
      <c r="U70" s="4" t="s">
        <v>34</v>
      </c>
      <c r="V70" s="4" t="s">
        <v>53</v>
      </c>
      <c r="W70" s="4" t="s">
        <v>35</v>
      </c>
      <c r="X70" s="4" t="s">
        <v>35</v>
      </c>
      <c r="Y70" s="4">
        <v>12</v>
      </c>
      <c r="Z70" s="4">
        <v>19</v>
      </c>
      <c r="AA70" s="4">
        <v>0</v>
      </c>
      <c r="AB70" s="4">
        <v>0</v>
      </c>
      <c r="AC70" s="4" t="s">
        <v>198</v>
      </c>
      <c r="AD70" s="4" t="s">
        <v>258</v>
      </c>
      <c r="AE70" s="4">
        <v>3</v>
      </c>
      <c r="AF70" s="4">
        <v>55</v>
      </c>
    </row>
    <row r="71" ht="75" spans="1:32">
      <c r="A71" s="4" t="s">
        <v>275</v>
      </c>
      <c r="B71" s="1" t="str">
        <f>_xlfn.DISPIMG("ID_C72938D2E1764F80A07C7A88F3944A85",1)</f>
        <v>=DISPIMG("ID_C72938D2E1764F80A07C7A88F3944A85",1)</v>
      </c>
      <c r="C71" s="1" t="s">
        <v>255</v>
      </c>
      <c r="D71" s="4">
        <v>99</v>
      </c>
      <c r="E71" s="4">
        <v>0</v>
      </c>
      <c r="F71" s="4">
        <v>0</v>
      </c>
      <c r="G71" s="4">
        <v>0</v>
      </c>
      <c r="H71" s="4">
        <v>0</v>
      </c>
      <c r="I71" s="4">
        <v>100</v>
      </c>
      <c r="J71" s="4" t="s">
        <v>35</v>
      </c>
      <c r="K71" s="4" t="s">
        <v>35</v>
      </c>
      <c r="L71" s="4">
        <v>40</v>
      </c>
      <c r="M71" s="4">
        <v>30</v>
      </c>
      <c r="N71" s="4">
        <v>25</v>
      </c>
      <c r="O71" s="4">
        <v>25</v>
      </c>
      <c r="P71" s="4">
        <v>30</v>
      </c>
      <c r="Q71" s="4">
        <v>25</v>
      </c>
      <c r="R71" s="4">
        <v>0</v>
      </c>
      <c r="S71" s="4">
        <v>0</v>
      </c>
      <c r="T71" s="4">
        <v>0</v>
      </c>
      <c r="U71" s="4" t="s">
        <v>34</v>
      </c>
      <c r="V71" s="4" t="s">
        <v>53</v>
      </c>
      <c r="W71" s="4" t="s">
        <v>35</v>
      </c>
      <c r="X71" s="4" t="s">
        <v>35</v>
      </c>
      <c r="Y71" s="4">
        <v>10</v>
      </c>
      <c r="Z71" s="4">
        <v>16</v>
      </c>
      <c r="AA71" s="4">
        <v>0</v>
      </c>
      <c r="AB71" s="4">
        <v>0</v>
      </c>
      <c r="AC71" s="4" t="s">
        <v>198</v>
      </c>
      <c r="AD71" s="4" t="s">
        <v>260</v>
      </c>
      <c r="AE71" s="4">
        <v>5.5</v>
      </c>
      <c r="AF71" s="4">
        <v>55</v>
      </c>
    </row>
    <row r="72" ht="75" spans="1:32">
      <c r="A72" s="4" t="s">
        <v>276</v>
      </c>
      <c r="B72" s="1" t="str">
        <f>_xlfn.DISPIMG("ID_7C1F2D52D1044CCBA3D52F081EBABA5A",1)</f>
        <v>=DISPIMG("ID_7C1F2D52D1044CCBA3D52F081EBABA5A",1)</v>
      </c>
      <c r="C72" s="1" t="s">
        <v>255</v>
      </c>
      <c r="D72" s="4">
        <v>93</v>
      </c>
      <c r="E72" s="4">
        <v>0</v>
      </c>
      <c r="F72" s="4">
        <v>0</v>
      </c>
      <c r="G72" s="4">
        <v>0</v>
      </c>
      <c r="H72" s="4">
        <v>0</v>
      </c>
      <c r="I72" s="4">
        <v>100</v>
      </c>
      <c r="J72" s="4" t="s">
        <v>35</v>
      </c>
      <c r="K72" s="4" t="s">
        <v>35</v>
      </c>
      <c r="L72" s="4">
        <v>40</v>
      </c>
      <c r="M72" s="4">
        <v>35</v>
      </c>
      <c r="N72" s="4">
        <v>25</v>
      </c>
      <c r="O72" s="4">
        <v>25</v>
      </c>
      <c r="P72" s="4">
        <v>35</v>
      </c>
      <c r="Q72" s="4">
        <v>30</v>
      </c>
      <c r="R72" s="4">
        <v>30</v>
      </c>
      <c r="S72" s="4">
        <v>0</v>
      </c>
      <c r="T72" s="4">
        <v>0</v>
      </c>
      <c r="U72" s="4" t="s">
        <v>43</v>
      </c>
      <c r="V72" s="4" t="s">
        <v>43</v>
      </c>
      <c r="W72" s="4" t="s">
        <v>35</v>
      </c>
      <c r="X72" s="4" t="s">
        <v>35</v>
      </c>
      <c r="Y72" s="4">
        <v>10</v>
      </c>
      <c r="Z72" s="4">
        <v>18</v>
      </c>
      <c r="AA72" s="4">
        <v>0</v>
      </c>
      <c r="AB72" s="4">
        <v>0</v>
      </c>
      <c r="AC72" s="4" t="s">
        <v>198</v>
      </c>
      <c r="AD72" s="4" t="s">
        <v>277</v>
      </c>
      <c r="AE72" s="4">
        <v>6.5</v>
      </c>
      <c r="AF72" s="4">
        <v>70</v>
      </c>
    </row>
    <row r="73" ht="75" spans="1:32">
      <c r="A73" s="4" t="s">
        <v>278</v>
      </c>
      <c r="B73" s="1" t="str">
        <f>_xlfn.DISPIMG("ID_18FF85DCBEEA4C418058DD5A2D2023B9",1)</f>
        <v>=DISPIMG("ID_18FF85DCBEEA4C418058DD5A2D2023B9",1)</v>
      </c>
      <c r="C73" s="1" t="s">
        <v>255</v>
      </c>
      <c r="D73" s="4">
        <v>79</v>
      </c>
      <c r="E73" s="4">
        <v>62</v>
      </c>
      <c r="F73" s="4">
        <v>62</v>
      </c>
      <c r="G73" s="4">
        <v>0</v>
      </c>
      <c r="H73" s="4">
        <v>0</v>
      </c>
      <c r="I73" s="4">
        <v>100</v>
      </c>
      <c r="J73" s="4" t="s">
        <v>35</v>
      </c>
      <c r="K73" s="4" t="s">
        <v>35</v>
      </c>
      <c r="L73" s="4">
        <v>50</v>
      </c>
      <c r="M73" s="4">
        <v>40</v>
      </c>
      <c r="N73" s="4">
        <v>35</v>
      </c>
      <c r="O73" s="4">
        <v>25</v>
      </c>
      <c r="P73" s="4">
        <v>30</v>
      </c>
      <c r="Q73" s="4">
        <v>35</v>
      </c>
      <c r="R73" s="4">
        <v>0</v>
      </c>
      <c r="S73" s="4">
        <v>0</v>
      </c>
      <c r="T73" s="4">
        <v>0</v>
      </c>
      <c r="U73" s="4" t="s">
        <v>43</v>
      </c>
      <c r="V73" s="4" t="s">
        <v>43</v>
      </c>
      <c r="W73" s="4" t="s">
        <v>43</v>
      </c>
      <c r="X73" s="4" t="s">
        <v>43</v>
      </c>
      <c r="Y73" s="4">
        <v>12</v>
      </c>
      <c r="Z73" s="4">
        <v>20</v>
      </c>
      <c r="AA73" s="4">
        <v>9</v>
      </c>
      <c r="AB73" s="4">
        <v>9</v>
      </c>
      <c r="AC73" s="4" t="s">
        <v>279</v>
      </c>
      <c r="AD73" s="4" t="s">
        <v>280</v>
      </c>
      <c r="AE73" s="4">
        <v>8.5</v>
      </c>
      <c r="AF73" s="4">
        <v>80</v>
      </c>
    </row>
    <row r="74" ht="75" spans="1:32">
      <c r="A74" s="4" t="s">
        <v>281</v>
      </c>
      <c r="B74" s="1" t="str">
        <f>_xlfn.DISPIMG("ID_1DC05F5538A2452796E19813C3302180",1)</f>
        <v>=DISPIMG("ID_1DC05F5538A2452796E19813C3302180",1)</v>
      </c>
      <c r="C74" s="1" t="s">
        <v>255</v>
      </c>
      <c r="D74" s="4">
        <v>108</v>
      </c>
      <c r="E74" s="4">
        <v>0</v>
      </c>
      <c r="F74" s="4">
        <v>0</v>
      </c>
      <c r="G74" s="4">
        <v>0</v>
      </c>
      <c r="H74" s="4">
        <v>0</v>
      </c>
      <c r="I74" s="4">
        <v>100</v>
      </c>
      <c r="J74" s="4" t="s">
        <v>35</v>
      </c>
      <c r="K74" s="4" t="s">
        <v>35</v>
      </c>
      <c r="L74" s="4">
        <v>45</v>
      </c>
      <c r="M74" s="4">
        <v>30</v>
      </c>
      <c r="N74" s="4">
        <v>25</v>
      </c>
      <c r="O74" s="4">
        <v>25</v>
      </c>
      <c r="P74" s="4">
        <v>30</v>
      </c>
      <c r="Q74" s="4">
        <v>30</v>
      </c>
      <c r="R74" s="4">
        <v>0</v>
      </c>
      <c r="S74" s="4">
        <v>0</v>
      </c>
      <c r="T74" s="4">
        <v>0</v>
      </c>
      <c r="U74" s="4" t="s">
        <v>43</v>
      </c>
      <c r="V74" s="4" t="s">
        <v>43</v>
      </c>
      <c r="W74" s="4" t="s">
        <v>35</v>
      </c>
      <c r="X74" s="4" t="s">
        <v>35</v>
      </c>
      <c r="Y74" s="4">
        <v>9</v>
      </c>
      <c r="Z74" s="4">
        <v>14</v>
      </c>
      <c r="AA74" s="4">
        <v>0</v>
      </c>
      <c r="AB74" s="4">
        <v>0</v>
      </c>
      <c r="AC74" s="4" t="s">
        <v>282</v>
      </c>
      <c r="AD74" s="4" t="s">
        <v>283</v>
      </c>
      <c r="AE74" s="4">
        <v>4</v>
      </c>
      <c r="AF74" s="4">
        <v>70</v>
      </c>
    </row>
    <row r="75" ht="75" spans="1:32">
      <c r="A75" s="4" t="s">
        <v>284</v>
      </c>
      <c r="B75" s="1" t="str">
        <f>_xlfn.DISPIMG("ID_07517BE8B8294D898111E28AD3CCC6F4",1)</f>
        <v>=DISPIMG("ID_07517BE8B8294D898111E28AD3CCC6F4",1)</v>
      </c>
      <c r="C75" s="1" t="s">
        <v>255</v>
      </c>
      <c r="D75" s="4">
        <v>0</v>
      </c>
      <c r="E75" s="4">
        <v>0</v>
      </c>
      <c r="F75" s="4">
        <v>99</v>
      </c>
      <c r="G75" s="4">
        <v>0</v>
      </c>
      <c r="H75" s="4">
        <v>0</v>
      </c>
      <c r="I75" s="4">
        <v>110</v>
      </c>
      <c r="J75" s="4">
        <v>20</v>
      </c>
      <c r="K75" s="4" t="s">
        <v>35</v>
      </c>
      <c r="L75" s="4">
        <v>25</v>
      </c>
      <c r="M75" s="4">
        <v>35</v>
      </c>
      <c r="N75" s="4">
        <v>65</v>
      </c>
      <c r="O75" s="4">
        <v>30</v>
      </c>
      <c r="P75" s="4">
        <v>35</v>
      </c>
      <c r="Q75" s="4">
        <v>30</v>
      </c>
      <c r="R75" s="4">
        <v>0</v>
      </c>
      <c r="S75" s="4">
        <v>0</v>
      </c>
      <c r="T75" s="4">
        <v>0</v>
      </c>
      <c r="U75" s="4" t="s">
        <v>35</v>
      </c>
      <c r="V75" s="4" t="s">
        <v>34</v>
      </c>
      <c r="W75" s="4" t="s">
        <v>43</v>
      </c>
      <c r="X75" s="4" t="s">
        <v>43</v>
      </c>
      <c r="Y75" s="4">
        <v>0</v>
      </c>
      <c r="Z75" s="4">
        <v>16</v>
      </c>
      <c r="AA75" s="4">
        <v>17</v>
      </c>
      <c r="AB75" s="4">
        <v>17</v>
      </c>
      <c r="AC75" s="4" t="s">
        <v>198</v>
      </c>
      <c r="AD75" s="4" t="s">
        <v>285</v>
      </c>
      <c r="AE75" s="4">
        <v>0.5</v>
      </c>
      <c r="AF75" s="4">
        <v>70</v>
      </c>
    </row>
    <row r="76" ht="75" spans="1:32">
      <c r="A76" s="4" t="s">
        <v>286</v>
      </c>
      <c r="B76" s="1" t="str">
        <f>_xlfn.DISPIMG("ID_66C2CC97C6CA4A3AAEF572ADE240F5E6",1)</f>
        <v>=DISPIMG("ID_66C2CC97C6CA4A3AAEF572ADE240F5E6",1)</v>
      </c>
      <c r="C76" s="1" t="s">
        <v>287</v>
      </c>
      <c r="D76" s="4">
        <v>125</v>
      </c>
      <c r="E76" s="4">
        <v>0</v>
      </c>
      <c r="F76" s="4">
        <v>0</v>
      </c>
      <c r="G76" s="4">
        <v>0</v>
      </c>
      <c r="H76" s="4">
        <v>0</v>
      </c>
      <c r="I76" s="4">
        <v>100</v>
      </c>
      <c r="J76" s="4" t="s">
        <v>35</v>
      </c>
      <c r="K76" s="4" t="s">
        <v>35</v>
      </c>
      <c r="L76" s="4">
        <v>50</v>
      </c>
      <c r="M76" s="4">
        <v>40</v>
      </c>
      <c r="N76" s="4">
        <v>35</v>
      </c>
      <c r="O76" s="4">
        <v>35</v>
      </c>
      <c r="P76" s="4">
        <v>40</v>
      </c>
      <c r="Q76" s="4">
        <v>40</v>
      </c>
      <c r="R76" s="4">
        <v>36</v>
      </c>
      <c r="S76" s="4">
        <v>0</v>
      </c>
      <c r="T76" s="4">
        <v>0</v>
      </c>
      <c r="U76" s="4" t="s">
        <v>43</v>
      </c>
      <c r="V76" s="4" t="s">
        <v>53</v>
      </c>
      <c r="W76" s="4" t="s">
        <v>35</v>
      </c>
      <c r="X76" s="4" t="s">
        <v>35</v>
      </c>
      <c r="Y76" s="4">
        <v>18</v>
      </c>
      <c r="Z76" s="4">
        <v>22</v>
      </c>
      <c r="AA76" s="4">
        <v>0</v>
      </c>
      <c r="AB76" s="4">
        <v>0</v>
      </c>
      <c r="AC76" s="4" t="s">
        <v>198</v>
      </c>
      <c r="AD76" s="4" t="s">
        <v>288</v>
      </c>
      <c r="AE76" s="4">
        <v>10.5</v>
      </c>
      <c r="AF76" s="4">
        <v>85</v>
      </c>
    </row>
    <row r="77" ht="75" spans="1:32">
      <c r="A77" s="4" t="s">
        <v>289</v>
      </c>
      <c r="B77" s="1" t="str">
        <f>_xlfn.DISPIMG("ID_4FB7DA0F1850451DBEE5276EEBE7C981",1)</f>
        <v>=DISPIMG("ID_4FB7DA0F1850451DBEE5276EEBE7C981",1)</v>
      </c>
      <c r="C77" s="1" t="s">
        <v>287</v>
      </c>
      <c r="D77" s="4">
        <v>132</v>
      </c>
      <c r="E77" s="4">
        <v>0</v>
      </c>
      <c r="F77" s="4">
        <v>0</v>
      </c>
      <c r="G77" s="4">
        <v>0</v>
      </c>
      <c r="H77" s="4">
        <v>0</v>
      </c>
      <c r="I77" s="4">
        <v>100</v>
      </c>
      <c r="J77" s="4" t="s">
        <v>35</v>
      </c>
      <c r="K77" s="4" t="s">
        <v>35</v>
      </c>
      <c r="L77" s="4">
        <v>55</v>
      </c>
      <c r="M77" s="4">
        <v>40</v>
      </c>
      <c r="N77" s="4">
        <v>35</v>
      </c>
      <c r="O77" s="4">
        <v>35</v>
      </c>
      <c r="P77" s="4">
        <v>40</v>
      </c>
      <c r="Q77" s="4">
        <v>45</v>
      </c>
      <c r="R77" s="4">
        <v>0</v>
      </c>
      <c r="S77" s="4">
        <v>0</v>
      </c>
      <c r="T77" s="4">
        <v>0</v>
      </c>
      <c r="U77" s="4" t="s">
        <v>43</v>
      </c>
      <c r="V77" s="4" t="s">
        <v>53</v>
      </c>
      <c r="W77" s="4" t="s">
        <v>35</v>
      </c>
      <c r="X77" s="4" t="s">
        <v>35</v>
      </c>
      <c r="Y77" s="4">
        <v>20</v>
      </c>
      <c r="Z77" s="4">
        <v>18</v>
      </c>
      <c r="AA77" s="4">
        <v>0</v>
      </c>
      <c r="AB77" s="4">
        <v>0</v>
      </c>
      <c r="AC77" s="4" t="s">
        <v>198</v>
      </c>
      <c r="AD77" s="4" t="s">
        <v>290</v>
      </c>
      <c r="AE77" s="4">
        <v>11</v>
      </c>
      <c r="AF77" s="4">
        <v>105</v>
      </c>
    </row>
    <row r="78" ht="75" spans="1:32">
      <c r="A78" s="4" t="s">
        <v>291</v>
      </c>
      <c r="B78" s="1" t="str">
        <f>_xlfn.DISPIMG("ID_67010AF31AF64830BE7AA5316228E1E5",1)</f>
        <v>=DISPIMG("ID_67010AF31AF64830BE7AA5316228E1E5",1)</v>
      </c>
      <c r="C78" s="1" t="s">
        <v>287</v>
      </c>
      <c r="D78" s="4">
        <v>148</v>
      </c>
      <c r="E78" s="4">
        <v>0</v>
      </c>
      <c r="F78" s="4">
        <v>0</v>
      </c>
      <c r="G78" s="4">
        <v>0</v>
      </c>
      <c r="H78" s="4">
        <v>0</v>
      </c>
      <c r="I78" s="4">
        <v>100</v>
      </c>
      <c r="J78" s="4" t="s">
        <v>35</v>
      </c>
      <c r="K78" s="4" t="s">
        <v>35</v>
      </c>
      <c r="L78" s="4">
        <v>65</v>
      </c>
      <c r="M78" s="4">
        <v>50</v>
      </c>
      <c r="N78" s="4">
        <v>45</v>
      </c>
      <c r="O78" s="4">
        <v>45</v>
      </c>
      <c r="P78" s="4">
        <v>50</v>
      </c>
      <c r="Q78" s="4">
        <v>45</v>
      </c>
      <c r="R78" s="4">
        <v>0</v>
      </c>
      <c r="S78" s="4">
        <v>0</v>
      </c>
      <c r="T78" s="4">
        <v>0</v>
      </c>
      <c r="U78" s="4" t="s">
        <v>53</v>
      </c>
      <c r="V78" s="4" t="s">
        <v>43</v>
      </c>
      <c r="W78" s="4" t="s">
        <v>35</v>
      </c>
      <c r="X78" s="4" t="s">
        <v>35</v>
      </c>
      <c r="Y78" s="4">
        <v>24</v>
      </c>
      <c r="Z78" s="4">
        <v>16</v>
      </c>
      <c r="AA78" s="4">
        <v>0</v>
      </c>
      <c r="AB78" s="4">
        <v>0</v>
      </c>
      <c r="AC78" s="4" t="s">
        <v>198</v>
      </c>
      <c r="AD78" s="4" t="s">
        <v>292</v>
      </c>
      <c r="AE78" s="4">
        <v>17</v>
      </c>
      <c r="AF78" s="4">
        <v>120</v>
      </c>
    </row>
    <row r="79" ht="75" spans="1:32">
      <c r="A79" s="4" t="s">
        <v>293</v>
      </c>
      <c r="B79" s="1" t="str">
        <f>_xlfn.DISPIMG("ID_7511CD829F1C41BA949496986C9CD38C",1)</f>
        <v>=DISPIMG("ID_7511CD829F1C41BA949496986C9CD38C",1)</v>
      </c>
      <c r="C79" s="1" t="s">
        <v>287</v>
      </c>
      <c r="D79" s="4">
        <v>140</v>
      </c>
      <c r="E79" s="4">
        <v>0</v>
      </c>
      <c r="F79" s="4">
        <v>0</v>
      </c>
      <c r="G79" s="4">
        <v>0</v>
      </c>
      <c r="H79" s="4">
        <v>0</v>
      </c>
      <c r="I79" s="4">
        <v>100</v>
      </c>
      <c r="J79" s="4" t="s">
        <v>35</v>
      </c>
      <c r="K79" s="4" t="s">
        <v>35</v>
      </c>
      <c r="L79" s="4">
        <v>55</v>
      </c>
      <c r="M79" s="4">
        <v>45</v>
      </c>
      <c r="N79" s="4">
        <v>40</v>
      </c>
      <c r="O79" s="4">
        <v>40</v>
      </c>
      <c r="P79" s="4">
        <v>45</v>
      </c>
      <c r="Q79" s="4">
        <v>45</v>
      </c>
      <c r="R79" s="4">
        <v>0</v>
      </c>
      <c r="S79" s="4">
        <v>0</v>
      </c>
      <c r="T79" s="4">
        <v>0</v>
      </c>
      <c r="U79" s="4" t="s">
        <v>43</v>
      </c>
      <c r="V79" s="4" t="s">
        <v>53</v>
      </c>
      <c r="W79" s="4" t="s">
        <v>35</v>
      </c>
      <c r="X79" s="4" t="s">
        <v>35</v>
      </c>
      <c r="Y79" s="4">
        <v>19</v>
      </c>
      <c r="Z79" s="4">
        <v>25</v>
      </c>
      <c r="AA79" s="4">
        <v>0</v>
      </c>
      <c r="AB79" s="4">
        <v>0</v>
      </c>
      <c r="AC79" s="4" t="s">
        <v>294</v>
      </c>
      <c r="AD79" s="4" t="s">
        <v>235</v>
      </c>
      <c r="AE79" s="4">
        <v>13</v>
      </c>
      <c r="AF79" s="4">
        <v>95</v>
      </c>
    </row>
    <row r="80" ht="75" spans="1:32">
      <c r="A80" s="4" t="s">
        <v>295</v>
      </c>
      <c r="B80" s="1" t="str">
        <f>_xlfn.DISPIMG("ID_4DD67E928C8B4AEFA597E3E92E74DA55",1)</f>
        <v>=DISPIMG("ID_4DD67E928C8B4AEFA597E3E92E74DA55",1)</v>
      </c>
      <c r="C80" s="1" t="s">
        <v>287</v>
      </c>
      <c r="D80" s="4">
        <v>140</v>
      </c>
      <c r="E80" s="4">
        <v>0</v>
      </c>
      <c r="F80" s="4">
        <v>0</v>
      </c>
      <c r="G80" s="4">
        <v>0</v>
      </c>
      <c r="H80" s="4">
        <v>0</v>
      </c>
      <c r="I80" s="4">
        <v>100</v>
      </c>
      <c r="J80" s="4" t="s">
        <v>35</v>
      </c>
      <c r="K80" s="4" t="s">
        <v>35</v>
      </c>
      <c r="L80" s="4">
        <v>60</v>
      </c>
      <c r="M80" s="4">
        <v>50</v>
      </c>
      <c r="N80" s="4">
        <v>40</v>
      </c>
      <c r="O80" s="4">
        <v>40</v>
      </c>
      <c r="P80" s="4">
        <v>50</v>
      </c>
      <c r="Q80" s="4">
        <v>45</v>
      </c>
      <c r="R80" s="4">
        <v>0</v>
      </c>
      <c r="S80" s="4">
        <v>0</v>
      </c>
      <c r="T80" s="4">
        <v>0</v>
      </c>
      <c r="U80" s="4" t="s">
        <v>43</v>
      </c>
      <c r="V80" s="4" t="s">
        <v>43</v>
      </c>
      <c r="W80" s="4" t="s">
        <v>35</v>
      </c>
      <c r="X80" s="4" t="s">
        <v>35</v>
      </c>
      <c r="Y80" s="4">
        <v>22</v>
      </c>
      <c r="Z80" s="4">
        <v>18</v>
      </c>
      <c r="AA80" s="4">
        <v>0</v>
      </c>
      <c r="AB80" s="4">
        <v>0</v>
      </c>
      <c r="AC80" s="4" t="s">
        <v>296</v>
      </c>
      <c r="AD80" s="4" t="s">
        <v>297</v>
      </c>
      <c r="AE80" s="4">
        <v>14</v>
      </c>
      <c r="AF80" s="4">
        <v>120</v>
      </c>
    </row>
    <row r="81" ht="75" spans="1:32">
      <c r="A81" s="4" t="s">
        <v>298</v>
      </c>
      <c r="B81" s="1" t="str">
        <f>_xlfn.DISPIMG("ID_74946BDECE894546B87A234D67AF2CD2",1)</f>
        <v>=DISPIMG("ID_74946BDECE894546B87A234D67AF2CD2",1)</v>
      </c>
      <c r="C81" s="1" t="s">
        <v>298</v>
      </c>
      <c r="D81" s="4">
        <v>105</v>
      </c>
      <c r="E81" s="4">
        <v>0</v>
      </c>
      <c r="F81" s="4">
        <v>0</v>
      </c>
      <c r="G81" s="4">
        <v>0</v>
      </c>
      <c r="H81" s="4">
        <v>0</v>
      </c>
      <c r="I81" s="4">
        <v>100</v>
      </c>
      <c r="J81" s="4" t="s">
        <v>35</v>
      </c>
      <c r="K81" s="4" t="s">
        <v>35</v>
      </c>
      <c r="L81" s="4">
        <v>45</v>
      </c>
      <c r="M81" s="4">
        <v>25</v>
      </c>
      <c r="N81" s="4">
        <v>20</v>
      </c>
      <c r="O81" s="4">
        <v>20</v>
      </c>
      <c r="P81" s="4">
        <v>25</v>
      </c>
      <c r="Q81" s="4">
        <v>20</v>
      </c>
      <c r="R81" s="4">
        <v>0</v>
      </c>
      <c r="S81" s="4">
        <v>0</v>
      </c>
      <c r="T81" s="4">
        <v>0</v>
      </c>
      <c r="U81" s="4" t="s">
        <v>43</v>
      </c>
      <c r="V81" s="4" t="s">
        <v>43</v>
      </c>
      <c r="W81" s="4" t="s">
        <v>35</v>
      </c>
      <c r="X81" s="4" t="s">
        <v>35</v>
      </c>
      <c r="Y81" s="4">
        <v>10</v>
      </c>
      <c r="Z81" s="4">
        <v>12</v>
      </c>
      <c r="AA81" s="4">
        <v>0</v>
      </c>
      <c r="AB81" s="4">
        <v>0</v>
      </c>
      <c r="AC81" s="4" t="s">
        <v>170</v>
      </c>
      <c r="AD81" s="4" t="s">
        <v>299</v>
      </c>
      <c r="AE81" s="4">
        <v>3.5</v>
      </c>
      <c r="AF81" s="4">
        <v>60</v>
      </c>
    </row>
    <row r="82" ht="75" spans="1:32">
      <c r="A82" s="4" t="s">
        <v>300</v>
      </c>
      <c r="B82" s="1" t="str">
        <f>_xlfn.DISPIMG("ID_1C8CE7FC7C954C57B3AFA4517F60096A",1)</f>
        <v>=DISPIMG("ID_1C8CE7FC7C954C57B3AFA4517F60096A",1)</v>
      </c>
      <c r="C82" s="1" t="s">
        <v>298</v>
      </c>
      <c r="D82" s="4">
        <v>95</v>
      </c>
      <c r="E82" s="4">
        <v>0</v>
      </c>
      <c r="F82" s="4">
        <v>0</v>
      </c>
      <c r="G82" s="4">
        <v>0</v>
      </c>
      <c r="H82" s="4">
        <v>0</v>
      </c>
      <c r="I82" s="4">
        <v>130</v>
      </c>
      <c r="J82" s="4" t="s">
        <v>35</v>
      </c>
      <c r="K82" s="4" t="s">
        <v>35</v>
      </c>
      <c r="L82" s="4">
        <v>35</v>
      </c>
      <c r="M82" s="4">
        <v>20</v>
      </c>
      <c r="N82" s="4">
        <v>15</v>
      </c>
      <c r="O82" s="4">
        <v>15</v>
      </c>
      <c r="P82" s="4">
        <v>20</v>
      </c>
      <c r="Q82" s="4">
        <v>15</v>
      </c>
      <c r="R82" s="4">
        <v>0</v>
      </c>
      <c r="S82" s="4">
        <v>0</v>
      </c>
      <c r="T82" s="4">
        <v>0</v>
      </c>
      <c r="U82" s="4" t="s">
        <v>34</v>
      </c>
      <c r="V82" s="4" t="s">
        <v>53</v>
      </c>
      <c r="W82" s="4" t="s">
        <v>35</v>
      </c>
      <c r="X82" s="4" t="s">
        <v>35</v>
      </c>
      <c r="Y82" s="4">
        <v>7</v>
      </c>
      <c r="Z82" s="4">
        <v>12</v>
      </c>
      <c r="AA82" s="4">
        <v>0</v>
      </c>
      <c r="AB82" s="4">
        <v>0</v>
      </c>
      <c r="AC82" s="4" t="s">
        <v>177</v>
      </c>
      <c r="AD82" s="4">
        <f>-(15/15)</f>
        <v>-1</v>
      </c>
      <c r="AE82" s="4">
        <v>2</v>
      </c>
      <c r="AF82" s="4">
        <v>60</v>
      </c>
    </row>
    <row r="83" ht="75" spans="1:32">
      <c r="A83" s="4" t="s">
        <v>301</v>
      </c>
      <c r="B83" s="1" t="str">
        <f>_xlfn.DISPIMG("ID_5CA3906F83564B5886FF6868345C819C",1)</f>
        <v>=DISPIMG("ID_5CA3906F83564B5886FF6868345C819C",1)</v>
      </c>
      <c r="C83" s="1" t="s">
        <v>298</v>
      </c>
      <c r="D83" s="4">
        <v>97</v>
      </c>
      <c r="E83" s="4">
        <v>0</v>
      </c>
      <c r="F83" s="4">
        <v>0</v>
      </c>
      <c r="G83" s="4">
        <v>0</v>
      </c>
      <c r="H83" s="4">
        <v>0</v>
      </c>
      <c r="I83" s="4">
        <v>100</v>
      </c>
      <c r="J83" s="4" t="s">
        <v>35</v>
      </c>
      <c r="K83" s="4" t="s">
        <v>35</v>
      </c>
      <c r="L83" s="4">
        <v>35</v>
      </c>
      <c r="M83" s="4">
        <v>20</v>
      </c>
      <c r="N83" s="4">
        <v>15</v>
      </c>
      <c r="O83" s="4">
        <v>15</v>
      </c>
      <c r="P83" s="4">
        <v>20</v>
      </c>
      <c r="Q83" s="4">
        <v>15</v>
      </c>
      <c r="R83" s="4">
        <v>0</v>
      </c>
      <c r="S83" s="4">
        <v>0</v>
      </c>
      <c r="T83" s="4">
        <v>0</v>
      </c>
      <c r="U83" s="4" t="s">
        <v>43</v>
      </c>
      <c r="V83" s="4" t="s">
        <v>53</v>
      </c>
      <c r="W83" s="4" t="s">
        <v>35</v>
      </c>
      <c r="X83" s="4" t="s">
        <v>35</v>
      </c>
      <c r="Y83" s="4">
        <v>8</v>
      </c>
      <c r="Z83" s="4">
        <v>20</v>
      </c>
      <c r="AA83" s="4">
        <v>0</v>
      </c>
      <c r="AB83" s="4">
        <v>0</v>
      </c>
      <c r="AC83" s="4" t="s">
        <v>302</v>
      </c>
      <c r="AD83" s="4" t="s">
        <v>303</v>
      </c>
      <c r="AE83" s="4">
        <v>2.5</v>
      </c>
      <c r="AF83" s="4">
        <v>70</v>
      </c>
    </row>
    <row r="84" ht="75" spans="1:32">
      <c r="A84" s="4" t="s">
        <v>304</v>
      </c>
      <c r="B84" s="1" t="str">
        <f>_xlfn.DISPIMG("ID_3BC564A4166343EB887CFC7D1FFA0989",1)</f>
        <v>=DISPIMG("ID_3BC564A4166343EB887CFC7D1FFA0989",1)</v>
      </c>
      <c r="C84" s="1" t="s">
        <v>298</v>
      </c>
      <c r="D84" s="4">
        <v>55</v>
      </c>
      <c r="E84" s="4">
        <v>82</v>
      </c>
      <c r="F84" s="4">
        <v>0</v>
      </c>
      <c r="G84" s="4">
        <v>0</v>
      </c>
      <c r="H84" s="4">
        <v>0</v>
      </c>
      <c r="I84" s="4">
        <v>100</v>
      </c>
      <c r="J84" s="4" t="s">
        <v>35</v>
      </c>
      <c r="K84" s="4" t="s">
        <v>35</v>
      </c>
      <c r="L84" s="4">
        <v>40</v>
      </c>
      <c r="M84" s="4">
        <v>30</v>
      </c>
      <c r="N84" s="4">
        <v>15</v>
      </c>
      <c r="O84" s="4">
        <v>15</v>
      </c>
      <c r="P84" s="4">
        <v>20</v>
      </c>
      <c r="Q84" s="4">
        <v>15</v>
      </c>
      <c r="R84" s="4">
        <v>0</v>
      </c>
      <c r="S84" s="4">
        <v>0</v>
      </c>
      <c r="T84" s="4">
        <v>0</v>
      </c>
      <c r="U84" s="4" t="s">
        <v>34</v>
      </c>
      <c r="V84" s="4" t="s">
        <v>34</v>
      </c>
      <c r="W84" s="4" t="s">
        <v>53</v>
      </c>
      <c r="X84" s="4" t="s">
        <v>35</v>
      </c>
      <c r="Y84" s="4">
        <v>13</v>
      </c>
      <c r="Z84" s="4">
        <v>18</v>
      </c>
      <c r="AA84" s="4">
        <v>0</v>
      </c>
      <c r="AB84" s="4">
        <v>0</v>
      </c>
      <c r="AC84" s="4" t="s">
        <v>177</v>
      </c>
      <c r="AD84" s="4">
        <f>-(15/15)</f>
        <v>-1</v>
      </c>
      <c r="AE84" s="4">
        <v>2.5</v>
      </c>
      <c r="AF84" s="4">
        <v>40</v>
      </c>
    </row>
    <row r="85" ht="75" spans="1:32">
      <c r="A85" s="4" t="s">
        <v>305</v>
      </c>
      <c r="B85" s="1" t="str">
        <f>_xlfn.DISPIMG("ID_3575A02BD9294410B5E4CBC1BC6D8C4D",1)</f>
        <v>=DISPIMG("ID_3575A02BD9294410B5E4CBC1BC6D8C4D",1)</v>
      </c>
      <c r="C85" s="1" t="s">
        <v>298</v>
      </c>
      <c r="D85" s="4">
        <v>116</v>
      </c>
      <c r="E85" s="4">
        <v>0</v>
      </c>
      <c r="F85" s="4">
        <v>0</v>
      </c>
      <c r="G85" s="4">
        <v>0</v>
      </c>
      <c r="H85" s="4">
        <v>0</v>
      </c>
      <c r="I85" s="4">
        <v>110</v>
      </c>
      <c r="J85" s="4" t="s">
        <v>35</v>
      </c>
      <c r="K85" s="4" t="s">
        <v>35</v>
      </c>
      <c r="L85" s="4">
        <v>40</v>
      </c>
      <c r="M85" s="4">
        <v>25</v>
      </c>
      <c r="N85" s="4">
        <v>20</v>
      </c>
      <c r="O85" s="4">
        <v>20</v>
      </c>
      <c r="P85" s="4">
        <v>25</v>
      </c>
      <c r="Q85" s="4">
        <v>20</v>
      </c>
      <c r="R85" s="4">
        <v>0</v>
      </c>
      <c r="S85" s="4">
        <v>0</v>
      </c>
      <c r="T85" s="4">
        <v>55</v>
      </c>
      <c r="U85" s="4" t="s">
        <v>43</v>
      </c>
      <c r="V85" s="4" t="s">
        <v>43</v>
      </c>
      <c r="W85" s="4" t="s">
        <v>35</v>
      </c>
      <c r="X85" s="4" t="s">
        <v>35</v>
      </c>
      <c r="Y85" s="4">
        <v>10</v>
      </c>
      <c r="Z85" s="4">
        <v>16</v>
      </c>
      <c r="AA85" s="4">
        <v>0</v>
      </c>
      <c r="AB85" s="4">
        <v>0</v>
      </c>
      <c r="AC85" s="4" t="s">
        <v>170</v>
      </c>
      <c r="AD85" s="4" t="s">
        <v>299</v>
      </c>
      <c r="AE85" s="4">
        <v>3</v>
      </c>
      <c r="AF85" s="4">
        <v>70</v>
      </c>
    </row>
    <row r="86" ht="75" spans="1:32">
      <c r="A86" s="4" t="s">
        <v>306</v>
      </c>
      <c r="B86" s="1" t="str">
        <f>_xlfn.DISPIMG("ID_896EBDA1BCE14942A72842688B922350",1)</f>
        <v>=DISPIMG("ID_896EBDA1BCE14942A72842688B922350",1)</v>
      </c>
      <c r="C86" s="1" t="s">
        <v>298</v>
      </c>
      <c r="D86" s="4">
        <v>98</v>
      </c>
      <c r="E86" s="4">
        <v>0</v>
      </c>
      <c r="F86" s="4">
        <v>0</v>
      </c>
      <c r="G86" s="4">
        <v>0</v>
      </c>
      <c r="H86" s="4">
        <v>0</v>
      </c>
      <c r="I86" s="4">
        <v>120</v>
      </c>
      <c r="J86" s="4" t="s">
        <v>35</v>
      </c>
      <c r="K86" s="4" t="s">
        <v>35</v>
      </c>
      <c r="L86" s="4">
        <v>35</v>
      </c>
      <c r="M86" s="4">
        <v>20</v>
      </c>
      <c r="N86" s="4">
        <v>15</v>
      </c>
      <c r="O86" s="4">
        <v>15</v>
      </c>
      <c r="P86" s="4">
        <v>20</v>
      </c>
      <c r="Q86" s="4">
        <v>15</v>
      </c>
      <c r="R86" s="4">
        <v>0</v>
      </c>
      <c r="S86" s="4">
        <v>0</v>
      </c>
      <c r="T86" s="4">
        <v>0</v>
      </c>
      <c r="U86" s="4" t="s">
        <v>34</v>
      </c>
      <c r="V86" s="4" t="s">
        <v>53</v>
      </c>
      <c r="W86" s="4" t="s">
        <v>35</v>
      </c>
      <c r="X86" s="4" t="s">
        <v>35</v>
      </c>
      <c r="Y86" s="4">
        <v>9</v>
      </c>
      <c r="Z86" s="4">
        <v>16</v>
      </c>
      <c r="AA86" s="4">
        <v>0</v>
      </c>
      <c r="AB86" s="4">
        <v>0</v>
      </c>
      <c r="AC86" s="4" t="s">
        <v>307</v>
      </c>
      <c r="AD86" s="4" t="s">
        <v>308</v>
      </c>
      <c r="AE86" s="4">
        <v>4</v>
      </c>
      <c r="AF86" s="4">
        <v>60</v>
      </c>
    </row>
    <row r="87" ht="75" spans="1:32">
      <c r="A87" s="4" t="s">
        <v>309</v>
      </c>
      <c r="B87" s="1" t="str">
        <f>_xlfn.DISPIMG("ID_AFD7B5E3D2C546F981E36283289BC2B3",1)</f>
        <v>=DISPIMG("ID_AFD7B5E3D2C546F981E36283289BC2B3",1)</v>
      </c>
      <c r="C87" s="1" t="s">
        <v>310</v>
      </c>
      <c r="D87" s="4">
        <v>115</v>
      </c>
      <c r="E87" s="4">
        <v>0</v>
      </c>
      <c r="F87" s="4">
        <v>0</v>
      </c>
      <c r="G87" s="4">
        <v>0</v>
      </c>
      <c r="H87" s="4">
        <v>0</v>
      </c>
      <c r="I87" s="4">
        <v>100</v>
      </c>
      <c r="J87" s="4" t="s">
        <v>35</v>
      </c>
      <c r="K87" s="4" t="s">
        <v>35</v>
      </c>
      <c r="L87" s="4">
        <v>45</v>
      </c>
      <c r="M87" s="4">
        <v>25</v>
      </c>
      <c r="N87" s="4">
        <v>20</v>
      </c>
      <c r="O87" s="4">
        <v>20</v>
      </c>
      <c r="P87" s="4">
        <v>25</v>
      </c>
      <c r="Q87" s="4">
        <v>30</v>
      </c>
      <c r="R87" s="4">
        <v>30</v>
      </c>
      <c r="S87" s="4">
        <v>0</v>
      </c>
      <c r="T87" s="4">
        <v>0</v>
      </c>
      <c r="U87" s="4" t="s">
        <v>34</v>
      </c>
      <c r="V87" s="4" t="s">
        <v>43</v>
      </c>
      <c r="W87" s="4" t="s">
        <v>35</v>
      </c>
      <c r="X87" s="4" t="s">
        <v>35</v>
      </c>
      <c r="Y87" s="4">
        <v>11</v>
      </c>
      <c r="Z87" s="4">
        <v>16</v>
      </c>
      <c r="AA87" s="4">
        <v>0</v>
      </c>
      <c r="AB87" s="4">
        <v>0</v>
      </c>
      <c r="AC87" s="4" t="s">
        <v>311</v>
      </c>
      <c r="AD87" s="4">
        <f t="shared" ref="AD87:AD90" si="3">-(17/5)</f>
        <v>-3.4</v>
      </c>
      <c r="AE87" s="4">
        <v>5.5</v>
      </c>
      <c r="AF87" s="4">
        <v>35</v>
      </c>
    </row>
    <row r="88" ht="75" spans="1:32">
      <c r="A88" s="4" t="s">
        <v>312</v>
      </c>
      <c r="B88" s="1" t="str">
        <f>_xlfn.DISPIMG("ID_C90BE5C3DCF24FE0B9604F0348CD191E",1)</f>
        <v>=DISPIMG("ID_C90BE5C3DCF24FE0B9604F0348CD191E",1)</v>
      </c>
      <c r="C88" s="1" t="s">
        <v>310</v>
      </c>
      <c r="D88" s="4">
        <v>121</v>
      </c>
      <c r="E88" s="4">
        <v>0</v>
      </c>
      <c r="F88" s="4">
        <v>0</v>
      </c>
      <c r="G88" s="4">
        <v>0</v>
      </c>
      <c r="H88" s="4">
        <v>0</v>
      </c>
      <c r="I88" s="4">
        <v>100</v>
      </c>
      <c r="J88" s="4" t="s">
        <v>35</v>
      </c>
      <c r="K88" s="4" t="s">
        <v>35</v>
      </c>
      <c r="L88" s="4">
        <v>55</v>
      </c>
      <c r="M88" s="4">
        <v>30</v>
      </c>
      <c r="N88" s="4">
        <v>25</v>
      </c>
      <c r="O88" s="4">
        <v>25</v>
      </c>
      <c r="P88" s="4">
        <v>30</v>
      </c>
      <c r="Q88" s="4">
        <v>35</v>
      </c>
      <c r="R88" s="4">
        <v>30</v>
      </c>
      <c r="S88" s="4">
        <v>0</v>
      </c>
      <c r="T88" s="4">
        <v>0</v>
      </c>
      <c r="U88" s="4" t="s">
        <v>34</v>
      </c>
      <c r="V88" s="4" t="s">
        <v>43</v>
      </c>
      <c r="W88" s="4" t="s">
        <v>35</v>
      </c>
      <c r="X88" s="4" t="s">
        <v>35</v>
      </c>
      <c r="Y88" s="4">
        <v>18</v>
      </c>
      <c r="Z88" s="4">
        <v>20</v>
      </c>
      <c r="AA88" s="4">
        <v>0</v>
      </c>
      <c r="AB88" s="4">
        <v>0</v>
      </c>
      <c r="AC88" s="4" t="s">
        <v>311</v>
      </c>
      <c r="AD88" s="4">
        <f>-(22/8)</f>
        <v>-2.75</v>
      </c>
      <c r="AE88" s="4">
        <v>8.5</v>
      </c>
      <c r="AF88" s="4">
        <v>20</v>
      </c>
    </row>
    <row r="89" ht="75" spans="1:32">
      <c r="A89" s="4" t="s">
        <v>313</v>
      </c>
      <c r="B89" s="1" t="str">
        <f>_xlfn.DISPIMG("ID_BF1996CA71E440C2BEFDB22D90062314",1)</f>
        <v>=DISPIMG("ID_BF1996CA71E440C2BEFDB22D90062314",1)</v>
      </c>
      <c r="C89" s="1" t="s">
        <v>310</v>
      </c>
      <c r="D89" s="4">
        <v>103</v>
      </c>
      <c r="E89" s="4">
        <v>0</v>
      </c>
      <c r="F89" s="4">
        <v>0</v>
      </c>
      <c r="G89" s="4">
        <v>0</v>
      </c>
      <c r="H89" s="4">
        <v>0</v>
      </c>
      <c r="I89" s="4">
        <v>100</v>
      </c>
      <c r="J89" s="4" t="s">
        <v>35</v>
      </c>
      <c r="K89" s="4" t="s">
        <v>35</v>
      </c>
      <c r="L89" s="4">
        <v>45</v>
      </c>
      <c r="M89" s="4">
        <v>25</v>
      </c>
      <c r="N89" s="4">
        <v>20</v>
      </c>
      <c r="O89" s="4">
        <v>20</v>
      </c>
      <c r="P89" s="4">
        <v>25</v>
      </c>
      <c r="Q89" s="4">
        <v>30</v>
      </c>
      <c r="R89" s="4">
        <v>35</v>
      </c>
      <c r="S89" s="4">
        <v>0</v>
      </c>
      <c r="T89" s="4">
        <v>0</v>
      </c>
      <c r="U89" s="4" t="s">
        <v>34</v>
      </c>
      <c r="V89" s="4" t="s">
        <v>46</v>
      </c>
      <c r="W89" s="4" t="s">
        <v>35</v>
      </c>
      <c r="X89" s="4" t="s">
        <v>35</v>
      </c>
      <c r="Y89" s="4">
        <v>16</v>
      </c>
      <c r="Z89" s="4">
        <v>14</v>
      </c>
      <c r="AA89" s="4">
        <v>0</v>
      </c>
      <c r="AB89" s="4">
        <v>0</v>
      </c>
      <c r="AC89" s="4" t="s">
        <v>311</v>
      </c>
      <c r="AD89" s="4">
        <f t="shared" si="3"/>
        <v>-3.4</v>
      </c>
      <c r="AE89" s="4">
        <v>6</v>
      </c>
      <c r="AF89" s="4">
        <v>35</v>
      </c>
    </row>
    <row r="90" ht="75" spans="1:32">
      <c r="A90" s="4" t="s">
        <v>314</v>
      </c>
      <c r="B90" s="1" t="str">
        <f>_xlfn.DISPIMG("ID_9324119C9E1145BD9669F87C2B7C6699",1)</f>
        <v>=DISPIMG("ID_9324119C9E1145BD9669F87C2B7C6699",1)</v>
      </c>
      <c r="C90" s="1" t="s">
        <v>310</v>
      </c>
      <c r="D90" s="4">
        <v>122</v>
      </c>
      <c r="E90" s="4">
        <v>0</v>
      </c>
      <c r="F90" s="4">
        <v>0</v>
      </c>
      <c r="G90" s="4">
        <v>0</v>
      </c>
      <c r="H90" s="4">
        <v>0</v>
      </c>
      <c r="I90" s="4">
        <v>100</v>
      </c>
      <c r="J90" s="4" t="s">
        <v>35</v>
      </c>
      <c r="K90" s="4" t="s">
        <v>35</v>
      </c>
      <c r="L90" s="4">
        <v>50</v>
      </c>
      <c r="M90" s="4">
        <v>30</v>
      </c>
      <c r="N90" s="4">
        <v>25</v>
      </c>
      <c r="O90" s="4">
        <v>25</v>
      </c>
      <c r="P90" s="4">
        <v>30</v>
      </c>
      <c r="Q90" s="4">
        <v>35</v>
      </c>
      <c r="R90" s="4">
        <v>30</v>
      </c>
      <c r="S90" s="4">
        <v>0</v>
      </c>
      <c r="T90" s="4">
        <v>0</v>
      </c>
      <c r="U90" s="4" t="s">
        <v>43</v>
      </c>
      <c r="V90" s="4" t="s">
        <v>43</v>
      </c>
      <c r="W90" s="4" t="s">
        <v>35</v>
      </c>
      <c r="X90" s="4" t="s">
        <v>35</v>
      </c>
      <c r="Y90" s="4">
        <v>18</v>
      </c>
      <c r="Z90" s="4">
        <v>18</v>
      </c>
      <c r="AA90" s="4">
        <v>0</v>
      </c>
      <c r="AB90" s="4">
        <v>0</v>
      </c>
      <c r="AC90" s="4" t="s">
        <v>311</v>
      </c>
      <c r="AD90" s="4">
        <f t="shared" si="3"/>
        <v>-3.4</v>
      </c>
      <c r="AE90" s="4">
        <v>6.5</v>
      </c>
      <c r="AF90" s="4">
        <v>50</v>
      </c>
    </row>
    <row r="91" ht="75" spans="1:32">
      <c r="A91" s="4" t="s">
        <v>315</v>
      </c>
      <c r="B91" s="1" t="str">
        <f>_xlfn.DISPIMG("ID_43C7E30E050244E7940D8DC868CDE8C9",1)</f>
        <v>=DISPIMG("ID_43C7E30E050244E7940D8DC868CDE8C9",1)</v>
      </c>
      <c r="C91" s="1" t="s">
        <v>310</v>
      </c>
      <c r="D91" s="4">
        <v>105</v>
      </c>
      <c r="E91" s="4">
        <v>0</v>
      </c>
      <c r="F91" s="4">
        <v>0</v>
      </c>
      <c r="G91" s="4">
        <v>0</v>
      </c>
      <c r="H91" s="4">
        <v>0</v>
      </c>
      <c r="I91" s="4">
        <v>100</v>
      </c>
      <c r="J91" s="4" t="s">
        <v>35</v>
      </c>
      <c r="K91" s="4" t="s">
        <v>35</v>
      </c>
      <c r="L91" s="4">
        <v>45</v>
      </c>
      <c r="M91" s="4">
        <v>25</v>
      </c>
      <c r="N91" s="4">
        <v>20</v>
      </c>
      <c r="O91" s="4">
        <v>20</v>
      </c>
      <c r="P91" s="4">
        <v>25</v>
      </c>
      <c r="Q91" s="4">
        <v>30</v>
      </c>
      <c r="R91" s="4">
        <v>34</v>
      </c>
      <c r="S91" s="4">
        <v>0</v>
      </c>
      <c r="T91" s="4">
        <v>0</v>
      </c>
      <c r="U91" s="4" t="s">
        <v>34</v>
      </c>
      <c r="V91" s="4" t="s">
        <v>53</v>
      </c>
      <c r="W91" s="4" t="s">
        <v>35</v>
      </c>
      <c r="X91" s="4" t="s">
        <v>35</v>
      </c>
      <c r="Y91" s="4">
        <v>11</v>
      </c>
      <c r="Z91" s="4">
        <v>24</v>
      </c>
      <c r="AA91" s="4">
        <v>0</v>
      </c>
      <c r="AB91" s="4">
        <v>0</v>
      </c>
      <c r="AC91" s="4" t="s">
        <v>315</v>
      </c>
      <c r="AD91" s="4" t="s">
        <v>167</v>
      </c>
      <c r="AE91" s="4">
        <v>5</v>
      </c>
      <c r="AF91" s="4">
        <v>40</v>
      </c>
    </row>
    <row r="92" ht="75" spans="1:32">
      <c r="A92" s="4" t="s">
        <v>316</v>
      </c>
      <c r="B92" s="1" t="str">
        <f>_xlfn.DISPIMG("ID_4B2E8AFAAC724B589E7DA52842F8A3D8",1)</f>
        <v>=DISPIMG("ID_4B2E8AFAAC724B589E7DA52842F8A3D8",1)</v>
      </c>
      <c r="C92" s="1" t="s">
        <v>310</v>
      </c>
      <c r="D92" s="4">
        <v>134</v>
      </c>
      <c r="E92" s="4">
        <v>0</v>
      </c>
      <c r="F92" s="4">
        <v>0</v>
      </c>
      <c r="G92" s="4">
        <v>0</v>
      </c>
      <c r="H92" s="4">
        <v>0</v>
      </c>
      <c r="I92" s="4">
        <v>100</v>
      </c>
      <c r="J92" s="4" t="s">
        <v>35</v>
      </c>
      <c r="K92" s="4" t="s">
        <v>35</v>
      </c>
      <c r="L92" s="4">
        <v>40</v>
      </c>
      <c r="M92" s="4">
        <v>25</v>
      </c>
      <c r="N92" s="4">
        <v>20</v>
      </c>
      <c r="O92" s="4">
        <v>20</v>
      </c>
      <c r="P92" s="4">
        <v>25</v>
      </c>
      <c r="Q92" s="4">
        <v>30</v>
      </c>
      <c r="R92" s="4">
        <v>34</v>
      </c>
      <c r="S92" s="4">
        <v>0</v>
      </c>
      <c r="T92" s="4">
        <v>0</v>
      </c>
      <c r="U92" s="4" t="s">
        <v>34</v>
      </c>
      <c r="V92" s="4" t="s">
        <v>43</v>
      </c>
      <c r="W92" s="4" t="s">
        <v>35</v>
      </c>
      <c r="X92" s="4" t="s">
        <v>35</v>
      </c>
      <c r="Y92" s="4">
        <v>10</v>
      </c>
      <c r="Z92" s="4">
        <v>28</v>
      </c>
      <c r="AA92" s="4">
        <v>0</v>
      </c>
      <c r="AB92" s="4">
        <v>0</v>
      </c>
      <c r="AC92" s="4" t="s">
        <v>316</v>
      </c>
      <c r="AD92" s="4" t="s">
        <v>41</v>
      </c>
      <c r="AE92" s="4">
        <v>3.5</v>
      </c>
      <c r="AF92" s="4">
        <v>35</v>
      </c>
    </row>
    <row r="93" ht="75" spans="1:32">
      <c r="A93" s="4" t="s">
        <v>317</v>
      </c>
      <c r="B93" s="1" t="str">
        <f>_xlfn.DISPIMG("ID_D43D493388F9402CAF4788E8D4AF8F53",1)</f>
        <v>=DISPIMG("ID_D43D493388F9402CAF4788E8D4AF8F53",1)</v>
      </c>
      <c r="C93" s="1" t="s">
        <v>310</v>
      </c>
      <c r="D93" s="4">
        <v>104</v>
      </c>
      <c r="E93" s="4">
        <v>0</v>
      </c>
      <c r="F93" s="4">
        <v>0</v>
      </c>
      <c r="G93" s="4">
        <v>0</v>
      </c>
      <c r="H93" s="4">
        <v>0</v>
      </c>
      <c r="I93" s="4">
        <v>100</v>
      </c>
      <c r="J93" s="4" t="s">
        <v>35</v>
      </c>
      <c r="K93" s="4" t="s">
        <v>35</v>
      </c>
      <c r="L93" s="4">
        <v>45</v>
      </c>
      <c r="M93" s="4">
        <v>25</v>
      </c>
      <c r="N93" s="4">
        <v>20</v>
      </c>
      <c r="O93" s="4">
        <v>20</v>
      </c>
      <c r="P93" s="4">
        <v>25</v>
      </c>
      <c r="Q93" s="4">
        <v>30</v>
      </c>
      <c r="R93" s="4">
        <v>30</v>
      </c>
      <c r="S93" s="4">
        <v>0</v>
      </c>
      <c r="T93" s="4">
        <v>0</v>
      </c>
      <c r="U93" s="4" t="s">
        <v>43</v>
      </c>
      <c r="V93" s="4" t="s">
        <v>53</v>
      </c>
      <c r="W93" s="4" t="s">
        <v>35</v>
      </c>
      <c r="X93" s="4" t="s">
        <v>35</v>
      </c>
      <c r="Y93" s="4">
        <v>13</v>
      </c>
      <c r="Z93" s="4">
        <v>25</v>
      </c>
      <c r="AA93" s="4">
        <v>0</v>
      </c>
      <c r="AB93" s="4">
        <v>0</v>
      </c>
      <c r="AC93" s="4" t="s">
        <v>318</v>
      </c>
      <c r="AD93" s="4" t="s">
        <v>41</v>
      </c>
      <c r="AE93" s="4">
        <v>8.5</v>
      </c>
      <c r="AF93" s="4">
        <v>35</v>
      </c>
    </row>
    <row r="94" ht="75" spans="1:32">
      <c r="A94" s="4" t="s">
        <v>319</v>
      </c>
      <c r="B94" s="1" t="str">
        <f>_xlfn.DISPIMG("ID_41155C4DDB8A45E28C06AB37DB275D75",1)</f>
        <v>=DISPIMG("ID_41155C4DDB8A45E28C06AB37DB275D75",1)</v>
      </c>
      <c r="C94" s="1" t="s">
        <v>310</v>
      </c>
      <c r="D94" s="4">
        <v>101</v>
      </c>
      <c r="E94" s="4">
        <v>0</v>
      </c>
      <c r="F94" s="4">
        <v>0</v>
      </c>
      <c r="G94" s="4">
        <v>0</v>
      </c>
      <c r="H94" s="4">
        <v>41</v>
      </c>
      <c r="I94" s="4">
        <v>100</v>
      </c>
      <c r="J94" s="4" t="s">
        <v>35</v>
      </c>
      <c r="K94" s="4" t="s">
        <v>35</v>
      </c>
      <c r="L94" s="4">
        <v>45</v>
      </c>
      <c r="M94" s="4">
        <v>25</v>
      </c>
      <c r="N94" s="4">
        <v>30</v>
      </c>
      <c r="O94" s="4">
        <v>15</v>
      </c>
      <c r="P94" s="4">
        <v>40</v>
      </c>
      <c r="Q94" s="4">
        <v>30</v>
      </c>
      <c r="R94" s="4">
        <v>34</v>
      </c>
      <c r="S94" s="4">
        <v>0</v>
      </c>
      <c r="T94" s="4">
        <v>0</v>
      </c>
      <c r="U94" s="4" t="s">
        <v>34</v>
      </c>
      <c r="V94" s="4" t="s">
        <v>36</v>
      </c>
      <c r="W94" s="4" t="s">
        <v>35</v>
      </c>
      <c r="X94" s="4" t="s">
        <v>35</v>
      </c>
      <c r="Y94" s="4">
        <v>11</v>
      </c>
      <c r="Z94" s="4">
        <v>40</v>
      </c>
      <c r="AA94" s="4">
        <v>0</v>
      </c>
      <c r="AB94" s="4">
        <v>0</v>
      </c>
      <c r="AC94" s="4" t="s">
        <v>311</v>
      </c>
      <c r="AD94" s="4">
        <f>-(18/11)</f>
        <v>-1.63636363636364</v>
      </c>
      <c r="AE94" s="4">
        <v>8</v>
      </c>
      <c r="AF94" s="4">
        <v>20</v>
      </c>
    </row>
    <row r="95" ht="75" spans="1:32">
      <c r="A95" s="4" t="s">
        <v>320</v>
      </c>
      <c r="B95" s="1" t="str">
        <f>_xlfn.DISPIMG("ID_489DE309075E41FAA5E7038A856A31CD",1)</f>
        <v>=DISPIMG("ID_489DE309075E41FAA5E7038A856A31CD",1)</v>
      </c>
      <c r="C95" s="1" t="s">
        <v>321</v>
      </c>
      <c r="D95" s="4">
        <v>110</v>
      </c>
      <c r="E95" s="4">
        <v>0</v>
      </c>
      <c r="F95" s="4">
        <v>0</v>
      </c>
      <c r="G95" s="4">
        <v>0</v>
      </c>
      <c r="H95" s="4">
        <v>0</v>
      </c>
      <c r="I95" s="4">
        <v>100</v>
      </c>
      <c r="J95" s="4" t="s">
        <v>35</v>
      </c>
      <c r="K95" s="4" t="s">
        <v>35</v>
      </c>
      <c r="L95" s="4">
        <v>45</v>
      </c>
      <c r="M95" s="4">
        <v>30</v>
      </c>
      <c r="N95" s="4">
        <v>25</v>
      </c>
      <c r="O95" s="4">
        <v>25</v>
      </c>
      <c r="P95" s="4">
        <v>30</v>
      </c>
      <c r="Q95" s="4">
        <v>30</v>
      </c>
      <c r="R95" s="4">
        <v>0</v>
      </c>
      <c r="S95" s="4">
        <v>0</v>
      </c>
      <c r="T95" s="4">
        <v>0</v>
      </c>
      <c r="U95" s="4" t="s">
        <v>43</v>
      </c>
      <c r="V95" s="4" t="s">
        <v>43</v>
      </c>
      <c r="W95" s="4" t="s">
        <v>35</v>
      </c>
      <c r="X95" s="4" t="s">
        <v>35</v>
      </c>
      <c r="Y95" s="4">
        <v>9</v>
      </c>
      <c r="Z95" s="4">
        <v>8</v>
      </c>
      <c r="AA95" s="4">
        <v>0</v>
      </c>
      <c r="AB95" s="4">
        <v>0</v>
      </c>
      <c r="AC95" s="4" t="s">
        <v>322</v>
      </c>
      <c r="AD95" s="4" t="s">
        <v>41</v>
      </c>
      <c r="AE95" s="4">
        <v>2.5</v>
      </c>
      <c r="AF95" s="4">
        <v>60</v>
      </c>
    </row>
    <row r="96" ht="75" spans="1:32">
      <c r="A96" s="4" t="s">
        <v>323</v>
      </c>
      <c r="B96" s="1" t="str">
        <f>_xlfn.DISPIMG("ID_3621705D922C427C8355DF4FAA00A882",1)</f>
        <v>=DISPIMG("ID_3621705D922C427C8355DF4FAA00A882",1)</v>
      </c>
      <c r="C96" s="1" t="s">
        <v>321</v>
      </c>
      <c r="D96" s="4">
        <v>125</v>
      </c>
      <c r="E96" s="4">
        <v>0</v>
      </c>
      <c r="F96" s="4">
        <v>0</v>
      </c>
      <c r="G96" s="4">
        <v>0</v>
      </c>
      <c r="H96" s="4">
        <v>0</v>
      </c>
      <c r="I96" s="4">
        <v>100</v>
      </c>
      <c r="J96" s="4" t="s">
        <v>35</v>
      </c>
      <c r="K96" s="4" t="s">
        <v>35</v>
      </c>
      <c r="L96" s="4">
        <v>45</v>
      </c>
      <c r="M96" s="4">
        <v>30</v>
      </c>
      <c r="N96" s="4">
        <v>25</v>
      </c>
      <c r="O96" s="4">
        <v>25</v>
      </c>
      <c r="P96" s="4">
        <v>30</v>
      </c>
      <c r="Q96" s="4">
        <v>30</v>
      </c>
      <c r="R96" s="4">
        <v>0</v>
      </c>
      <c r="S96" s="4">
        <v>0</v>
      </c>
      <c r="T96" s="4">
        <v>0</v>
      </c>
      <c r="U96" s="4" t="s">
        <v>43</v>
      </c>
      <c r="V96" s="4" t="s">
        <v>43</v>
      </c>
      <c r="W96" s="4" t="s">
        <v>35</v>
      </c>
      <c r="X96" s="4" t="s">
        <v>35</v>
      </c>
      <c r="Y96" s="4">
        <v>12</v>
      </c>
      <c r="Z96" s="4">
        <v>8</v>
      </c>
      <c r="AA96" s="4">
        <v>0</v>
      </c>
      <c r="AB96" s="4">
        <v>0</v>
      </c>
      <c r="AC96" s="4" t="s">
        <v>322</v>
      </c>
      <c r="AD96" s="4" t="s">
        <v>41</v>
      </c>
      <c r="AE96" s="4">
        <v>4</v>
      </c>
      <c r="AF96" s="4">
        <v>80</v>
      </c>
    </row>
    <row r="97" ht="75" spans="1:32">
      <c r="A97" s="4" t="s">
        <v>324</v>
      </c>
      <c r="B97" s="1" t="str">
        <f>_xlfn.DISPIMG("ID_E04572506EA14C19995487D3AE485EBD",1)</f>
        <v>=DISPIMG("ID_E04572506EA14C19995487D3AE485EBD",1)</v>
      </c>
      <c r="C97" s="1" t="s">
        <v>321</v>
      </c>
      <c r="D97" s="4">
        <v>124</v>
      </c>
      <c r="E97" s="4">
        <v>0</v>
      </c>
      <c r="F97" s="4">
        <v>0</v>
      </c>
      <c r="G97" s="4">
        <v>0</v>
      </c>
      <c r="H97" s="4">
        <v>0</v>
      </c>
      <c r="I97" s="4">
        <v>100</v>
      </c>
      <c r="J97" s="4" t="s">
        <v>35</v>
      </c>
      <c r="K97" s="4" t="s">
        <v>35</v>
      </c>
      <c r="L97" s="4">
        <v>45</v>
      </c>
      <c r="M97" s="4">
        <v>30</v>
      </c>
      <c r="N97" s="4">
        <v>25</v>
      </c>
      <c r="O97" s="4">
        <v>25</v>
      </c>
      <c r="P97" s="4">
        <v>30</v>
      </c>
      <c r="Q97" s="4">
        <v>30</v>
      </c>
      <c r="R97" s="4">
        <v>0</v>
      </c>
      <c r="S97" s="4">
        <v>0</v>
      </c>
      <c r="T97" s="4">
        <v>0</v>
      </c>
      <c r="U97" s="4" t="s">
        <v>43</v>
      </c>
      <c r="V97" s="4" t="s">
        <v>43</v>
      </c>
      <c r="W97" s="4" t="s">
        <v>35</v>
      </c>
      <c r="X97" s="4" t="s">
        <v>35</v>
      </c>
      <c r="Y97" s="4">
        <v>14</v>
      </c>
      <c r="Z97" s="4">
        <v>8</v>
      </c>
      <c r="AA97" s="4">
        <v>0</v>
      </c>
      <c r="AB97" s="4">
        <v>0</v>
      </c>
      <c r="AC97" s="4" t="s">
        <v>322</v>
      </c>
      <c r="AD97" s="4" t="s">
        <v>41</v>
      </c>
      <c r="AE97" s="4">
        <v>3</v>
      </c>
      <c r="AF97" s="4">
        <v>75</v>
      </c>
    </row>
    <row r="98" ht="75" spans="1:32">
      <c r="A98" s="4" t="s">
        <v>325</v>
      </c>
      <c r="B98" s="1" t="str">
        <f>_xlfn.DISPIMG("ID_B8D4CE350E94418FAE3952374F2F14F4",1)</f>
        <v>=DISPIMG("ID_B8D4CE350E94418FAE3952374F2F14F4",1)</v>
      </c>
      <c r="C98" s="1" t="s">
        <v>321</v>
      </c>
      <c r="D98" s="4">
        <v>95</v>
      </c>
      <c r="E98" s="4">
        <v>0</v>
      </c>
      <c r="F98" s="4">
        <v>0</v>
      </c>
      <c r="G98" s="4">
        <v>0</v>
      </c>
      <c r="H98" s="4">
        <v>0</v>
      </c>
      <c r="I98" s="4">
        <v>100</v>
      </c>
      <c r="J98" s="4" t="s">
        <v>35</v>
      </c>
      <c r="K98" s="4" t="s">
        <v>35</v>
      </c>
      <c r="L98" s="4">
        <v>60</v>
      </c>
      <c r="M98" s="4">
        <v>40</v>
      </c>
      <c r="N98" s="4">
        <v>30</v>
      </c>
      <c r="O98" s="4">
        <v>30</v>
      </c>
      <c r="P98" s="4">
        <v>40</v>
      </c>
      <c r="Q98" s="4">
        <v>35</v>
      </c>
      <c r="R98" s="4">
        <v>0</v>
      </c>
      <c r="S98" s="4">
        <v>0</v>
      </c>
      <c r="T98" s="4">
        <v>0</v>
      </c>
      <c r="U98" s="4" t="s">
        <v>46</v>
      </c>
      <c r="V98" s="4" t="s">
        <v>35</v>
      </c>
      <c r="W98" s="4" t="s">
        <v>35</v>
      </c>
      <c r="X98" s="4" t="s">
        <v>35</v>
      </c>
      <c r="Y98" s="4">
        <v>24</v>
      </c>
      <c r="Z98" s="4">
        <v>0</v>
      </c>
      <c r="AA98" s="4">
        <v>0</v>
      </c>
      <c r="AB98" s="4">
        <v>0</v>
      </c>
      <c r="AC98" s="4" t="s">
        <v>326</v>
      </c>
      <c r="AD98" s="4" t="s">
        <v>87</v>
      </c>
      <c r="AE98" s="4">
        <v>7</v>
      </c>
      <c r="AF98" s="4">
        <v>75</v>
      </c>
    </row>
    <row r="99" ht="75" spans="1:32">
      <c r="A99" s="4" t="s">
        <v>327</v>
      </c>
      <c r="B99" s="1" t="str">
        <f>_xlfn.DISPIMG("ID_90C477DDB2ED46539A6DEEFAAEFC7F22",1)</f>
        <v>=DISPIMG("ID_90C477DDB2ED46539A6DEEFAAEFC7F22",1)</v>
      </c>
      <c r="C99" s="1" t="s">
        <v>321</v>
      </c>
      <c r="D99" s="4">
        <v>105</v>
      </c>
      <c r="E99" s="4">
        <v>0</v>
      </c>
      <c r="F99" s="4">
        <v>0</v>
      </c>
      <c r="G99" s="4">
        <v>105</v>
      </c>
      <c r="H99" s="4">
        <v>0</v>
      </c>
      <c r="I99" s="4">
        <v>100</v>
      </c>
      <c r="J99" s="4" t="s">
        <v>35</v>
      </c>
      <c r="K99" s="4" t="s">
        <v>35</v>
      </c>
      <c r="L99" s="4">
        <v>45</v>
      </c>
      <c r="M99" s="4">
        <v>30</v>
      </c>
      <c r="N99" s="4">
        <v>25</v>
      </c>
      <c r="O99" s="4">
        <v>25</v>
      </c>
      <c r="P99" s="4">
        <v>30</v>
      </c>
      <c r="Q99" s="4">
        <v>30</v>
      </c>
      <c r="R99" s="4">
        <v>0</v>
      </c>
      <c r="S99" s="4">
        <v>0</v>
      </c>
      <c r="T99" s="4">
        <v>0</v>
      </c>
      <c r="U99" s="4" t="s">
        <v>43</v>
      </c>
      <c r="V99" s="4" t="s">
        <v>34</v>
      </c>
      <c r="W99" s="4" t="s">
        <v>35</v>
      </c>
      <c r="X99" s="4" t="s">
        <v>35</v>
      </c>
      <c r="Y99" s="4">
        <v>18</v>
      </c>
      <c r="Z99" s="4">
        <v>14</v>
      </c>
      <c r="AA99" s="4">
        <v>0</v>
      </c>
      <c r="AB99" s="4">
        <v>0</v>
      </c>
      <c r="AC99" s="4" t="s">
        <v>322</v>
      </c>
      <c r="AD99" s="4" t="s">
        <v>41</v>
      </c>
      <c r="AE99" s="4">
        <v>4</v>
      </c>
      <c r="AF99" s="4">
        <v>70</v>
      </c>
    </row>
    <row r="100" ht="75" spans="1:32">
      <c r="A100" s="4" t="s">
        <v>328</v>
      </c>
      <c r="B100" s="1" t="str">
        <f>_xlfn.DISPIMG("ID_874AE260A6FB413B81FDBCBBE15D19AF",1)</f>
        <v>=DISPIMG("ID_874AE260A6FB413B81FDBCBBE15D19AF",1)</v>
      </c>
      <c r="C100" s="1" t="s">
        <v>321</v>
      </c>
      <c r="D100" s="4">
        <v>104</v>
      </c>
      <c r="E100" s="4">
        <v>0</v>
      </c>
      <c r="F100" s="4">
        <v>0</v>
      </c>
      <c r="G100" s="4">
        <v>0</v>
      </c>
      <c r="H100" s="4">
        <v>0</v>
      </c>
      <c r="I100" s="4">
        <v>100</v>
      </c>
      <c r="J100" s="4" t="s">
        <v>35</v>
      </c>
      <c r="K100" s="4" t="s">
        <v>35</v>
      </c>
      <c r="L100" s="4">
        <v>40</v>
      </c>
      <c r="M100" s="4">
        <v>30</v>
      </c>
      <c r="N100" s="4">
        <v>25</v>
      </c>
      <c r="O100" s="4">
        <v>25</v>
      </c>
      <c r="P100" s="4">
        <v>30</v>
      </c>
      <c r="Q100" s="4">
        <v>30</v>
      </c>
      <c r="R100" s="4">
        <v>0</v>
      </c>
      <c r="S100" s="4">
        <v>0</v>
      </c>
      <c r="T100" s="4">
        <v>0</v>
      </c>
      <c r="U100" s="4" t="s">
        <v>43</v>
      </c>
      <c r="V100" s="4" t="s">
        <v>43</v>
      </c>
      <c r="W100" s="4" t="s">
        <v>35</v>
      </c>
      <c r="X100" s="4" t="s">
        <v>35</v>
      </c>
      <c r="Y100" s="4">
        <v>8</v>
      </c>
      <c r="Z100" s="4">
        <v>8</v>
      </c>
      <c r="AA100" s="4">
        <v>0</v>
      </c>
      <c r="AB100" s="4">
        <v>0</v>
      </c>
      <c r="AC100" s="4" t="s">
        <v>155</v>
      </c>
      <c r="AD100" s="4" t="s">
        <v>59</v>
      </c>
      <c r="AE100" s="4">
        <v>1.5</v>
      </c>
      <c r="AF100" s="4">
        <v>55</v>
      </c>
    </row>
    <row r="101" ht="75" spans="1:32">
      <c r="A101" s="4" t="s">
        <v>329</v>
      </c>
      <c r="B101" s="1" t="str">
        <f>_xlfn.DISPIMG("ID_2ABFF37A70B64C8B8BD9EE3BBEEE6649",1)</f>
        <v>=DISPIMG("ID_2ABFF37A70B64C8B8BD9EE3BBEEE6649",1)</v>
      </c>
      <c r="C101" s="1" t="s">
        <v>321</v>
      </c>
      <c r="D101" s="4">
        <v>156</v>
      </c>
      <c r="E101" s="4">
        <v>0</v>
      </c>
      <c r="F101" s="4">
        <v>0</v>
      </c>
      <c r="G101" s="4">
        <v>0</v>
      </c>
      <c r="H101" s="4">
        <v>0</v>
      </c>
      <c r="I101" s="4">
        <v>100</v>
      </c>
      <c r="J101" s="4" t="s">
        <v>35</v>
      </c>
      <c r="K101" s="4" t="s">
        <v>35</v>
      </c>
      <c r="L101" s="4">
        <v>55</v>
      </c>
      <c r="M101" s="4">
        <v>40</v>
      </c>
      <c r="N101" s="4">
        <v>30</v>
      </c>
      <c r="O101" s="4">
        <v>30</v>
      </c>
      <c r="P101" s="4">
        <v>40</v>
      </c>
      <c r="Q101" s="4">
        <v>35</v>
      </c>
      <c r="R101" s="4">
        <v>0</v>
      </c>
      <c r="S101" s="4">
        <v>0</v>
      </c>
      <c r="T101" s="4">
        <v>0</v>
      </c>
      <c r="U101" s="4" t="s">
        <v>43</v>
      </c>
      <c r="V101" s="4" t="s">
        <v>34</v>
      </c>
      <c r="W101" s="4" t="s">
        <v>35</v>
      </c>
      <c r="X101" s="4" t="s">
        <v>35</v>
      </c>
      <c r="Y101" s="4">
        <v>20</v>
      </c>
      <c r="Z101" s="4">
        <v>8</v>
      </c>
      <c r="AA101" s="4">
        <v>0</v>
      </c>
      <c r="AB101" s="4">
        <v>0</v>
      </c>
      <c r="AC101" s="4" t="s">
        <v>330</v>
      </c>
      <c r="AD101" s="4" t="s">
        <v>331</v>
      </c>
      <c r="AE101" s="4">
        <v>6.5</v>
      </c>
      <c r="AF101" s="4">
        <v>90</v>
      </c>
    </row>
    <row r="102" ht="75" spans="1:32">
      <c r="A102" s="4" t="s">
        <v>332</v>
      </c>
      <c r="B102" s="1" t="str">
        <f>_xlfn.DISPIMG("ID_B5C9D7C86AF34969A02CACFD565FA104",1)</f>
        <v>=DISPIMG("ID_B5C9D7C86AF34969A02CACFD565FA104",1)</v>
      </c>
      <c r="C102" s="1" t="s">
        <v>321</v>
      </c>
      <c r="D102" s="4">
        <v>125</v>
      </c>
      <c r="E102" s="4">
        <v>0</v>
      </c>
      <c r="F102" s="4">
        <v>0</v>
      </c>
      <c r="G102" s="4">
        <v>0</v>
      </c>
      <c r="H102" s="4">
        <v>0</v>
      </c>
      <c r="I102" s="4">
        <v>100</v>
      </c>
      <c r="J102" s="4" t="s">
        <v>35</v>
      </c>
      <c r="K102" s="4" t="s">
        <v>35</v>
      </c>
      <c r="L102" s="4">
        <v>45</v>
      </c>
      <c r="M102" s="4">
        <v>30</v>
      </c>
      <c r="N102" s="4">
        <v>25</v>
      </c>
      <c r="O102" s="4">
        <v>25</v>
      </c>
      <c r="P102" s="4">
        <v>30</v>
      </c>
      <c r="Q102" s="4">
        <v>30</v>
      </c>
      <c r="R102" s="4">
        <v>0</v>
      </c>
      <c r="S102" s="4">
        <v>0</v>
      </c>
      <c r="T102" s="4">
        <v>0</v>
      </c>
      <c r="U102" s="4" t="s">
        <v>43</v>
      </c>
      <c r="V102" s="4" t="s">
        <v>43</v>
      </c>
      <c r="W102" s="4" t="s">
        <v>35</v>
      </c>
      <c r="X102" s="4" t="s">
        <v>35</v>
      </c>
      <c r="Y102" s="4">
        <v>16</v>
      </c>
      <c r="Z102" s="4">
        <v>13</v>
      </c>
      <c r="AA102" s="4">
        <v>0</v>
      </c>
      <c r="AB102" s="4">
        <v>0</v>
      </c>
      <c r="AC102" s="4" t="s">
        <v>322</v>
      </c>
      <c r="AD102" s="4" t="s">
        <v>41</v>
      </c>
      <c r="AE102" s="4">
        <v>4</v>
      </c>
      <c r="AF102" s="4">
        <v>80</v>
      </c>
    </row>
    <row r="103" ht="75" spans="1:32">
      <c r="A103" s="4" t="s">
        <v>333</v>
      </c>
      <c r="B103" s="1" t="str">
        <f>_xlfn.DISPIMG("ID_0E99CB947A2B499099DFA4A598AFBE1A",1)</f>
        <v>=DISPIMG("ID_0E99CB947A2B499099DFA4A598AFBE1A",1)</v>
      </c>
      <c r="C103" s="1" t="s">
        <v>321</v>
      </c>
      <c r="D103" s="4">
        <v>122</v>
      </c>
      <c r="E103" s="4">
        <v>0</v>
      </c>
      <c r="F103" s="4">
        <v>0</v>
      </c>
      <c r="G103" s="4">
        <v>0</v>
      </c>
      <c r="H103" s="4">
        <v>0</v>
      </c>
      <c r="I103" s="4">
        <v>100</v>
      </c>
      <c r="J103" s="4" t="s">
        <v>35</v>
      </c>
      <c r="K103" s="4" t="s">
        <v>35</v>
      </c>
      <c r="L103" s="4">
        <v>45</v>
      </c>
      <c r="M103" s="4">
        <v>30</v>
      </c>
      <c r="N103" s="4">
        <v>25</v>
      </c>
      <c r="O103" s="4">
        <v>25</v>
      </c>
      <c r="P103" s="4">
        <v>30</v>
      </c>
      <c r="Q103" s="4">
        <v>35</v>
      </c>
      <c r="R103" s="4">
        <v>0</v>
      </c>
      <c r="S103" s="4">
        <v>0</v>
      </c>
      <c r="T103" s="4">
        <v>0</v>
      </c>
      <c r="U103" s="4" t="s">
        <v>43</v>
      </c>
      <c r="V103" s="4" t="s">
        <v>43</v>
      </c>
      <c r="W103" s="4" t="s">
        <v>35</v>
      </c>
      <c r="X103" s="4" t="s">
        <v>35</v>
      </c>
      <c r="Y103" s="4">
        <v>20</v>
      </c>
      <c r="Z103" s="4">
        <v>12</v>
      </c>
      <c r="AA103" s="4">
        <v>0</v>
      </c>
      <c r="AB103" s="4">
        <v>0</v>
      </c>
      <c r="AC103" s="4" t="s">
        <v>334</v>
      </c>
      <c r="AD103" s="4" t="s">
        <v>335</v>
      </c>
      <c r="AE103" s="4">
        <v>8.5</v>
      </c>
      <c r="AF103" s="4">
        <v>80</v>
      </c>
    </row>
    <row r="104" ht="75" spans="1:32">
      <c r="A104" s="4" t="s">
        <v>336</v>
      </c>
      <c r="B104" s="1" t="str">
        <f>_xlfn.DISPIMG("ID_569ABF1467FA4FECB559D09CBE72AB6E",1)</f>
        <v>=DISPIMG("ID_569ABF1467FA4FECB559D09CBE72AB6E",1)</v>
      </c>
      <c r="C104" s="1" t="s">
        <v>321</v>
      </c>
      <c r="D104" s="4">
        <v>135</v>
      </c>
      <c r="E104" s="4">
        <v>0</v>
      </c>
      <c r="F104" s="4">
        <v>0</v>
      </c>
      <c r="G104" s="4">
        <v>0</v>
      </c>
      <c r="H104" s="4">
        <v>0</v>
      </c>
      <c r="I104" s="4">
        <v>100</v>
      </c>
      <c r="J104" s="4" t="s">
        <v>35</v>
      </c>
      <c r="K104" s="4" t="s">
        <v>35</v>
      </c>
      <c r="L104" s="4">
        <v>45</v>
      </c>
      <c r="M104" s="4">
        <v>30</v>
      </c>
      <c r="N104" s="4">
        <v>25</v>
      </c>
      <c r="O104" s="4">
        <v>25</v>
      </c>
      <c r="P104" s="4">
        <v>30</v>
      </c>
      <c r="Q104" s="4">
        <v>35</v>
      </c>
      <c r="R104" s="4">
        <v>0</v>
      </c>
      <c r="S104" s="4">
        <v>0</v>
      </c>
      <c r="T104" s="4">
        <v>0</v>
      </c>
      <c r="U104" s="4" t="s">
        <v>53</v>
      </c>
      <c r="V104" s="4" t="s">
        <v>34</v>
      </c>
      <c r="W104" s="4" t="s">
        <v>35</v>
      </c>
      <c r="X104" s="4" t="s">
        <v>35</v>
      </c>
      <c r="Y104" s="4">
        <v>15</v>
      </c>
      <c r="Z104" s="4">
        <v>10</v>
      </c>
      <c r="AA104" s="4">
        <v>0</v>
      </c>
      <c r="AB104" s="4">
        <v>0</v>
      </c>
      <c r="AC104" s="4" t="s">
        <v>322</v>
      </c>
      <c r="AD104" s="4" t="s">
        <v>41</v>
      </c>
      <c r="AE104" s="4">
        <v>6.5</v>
      </c>
      <c r="AF104" s="4">
        <v>80</v>
      </c>
    </row>
    <row r="105" ht="75" spans="1:32">
      <c r="A105" s="4" t="s">
        <v>337</v>
      </c>
      <c r="B105" s="1" t="str">
        <f>_xlfn.DISPIMG("ID_2A685C098FB146F3A3378808551B2E06",1)</f>
        <v>=DISPIMG("ID_2A685C098FB146F3A3378808551B2E06",1)</v>
      </c>
      <c r="C105" s="1" t="s">
        <v>338</v>
      </c>
      <c r="D105" s="4">
        <v>185</v>
      </c>
      <c r="E105" s="4">
        <v>0</v>
      </c>
      <c r="F105" s="4">
        <v>0</v>
      </c>
      <c r="G105" s="4">
        <v>0</v>
      </c>
      <c r="H105" s="4">
        <v>0</v>
      </c>
      <c r="I105" s="4">
        <v>100</v>
      </c>
      <c r="J105" s="4" t="s">
        <v>35</v>
      </c>
      <c r="K105" s="4" t="s">
        <v>35</v>
      </c>
      <c r="L105" s="4">
        <v>55</v>
      </c>
      <c r="M105" s="4">
        <v>45</v>
      </c>
      <c r="N105" s="4">
        <v>40</v>
      </c>
      <c r="O105" s="4">
        <v>40</v>
      </c>
      <c r="P105" s="4">
        <v>45</v>
      </c>
      <c r="Q105" s="4">
        <v>40</v>
      </c>
      <c r="R105" s="4">
        <v>0</v>
      </c>
      <c r="S105" s="4">
        <v>0</v>
      </c>
      <c r="T105" s="4">
        <v>0</v>
      </c>
      <c r="U105" s="4" t="s">
        <v>53</v>
      </c>
      <c r="V105" s="4" t="s">
        <v>35</v>
      </c>
      <c r="W105" s="4" t="s">
        <v>35</v>
      </c>
      <c r="X105" s="4" t="s">
        <v>35</v>
      </c>
      <c r="Y105" s="4">
        <v>38</v>
      </c>
      <c r="Z105" s="4">
        <v>10</v>
      </c>
      <c r="AA105" s="4">
        <v>0</v>
      </c>
      <c r="AB105" s="4">
        <v>0</v>
      </c>
      <c r="AC105" s="4" t="s">
        <v>322</v>
      </c>
      <c r="AD105" s="4" t="s">
        <v>41</v>
      </c>
      <c r="AE105" s="4">
        <v>19</v>
      </c>
      <c r="AF105" s="4">
        <v>140</v>
      </c>
    </row>
    <row r="106" ht="75" spans="1:32">
      <c r="A106" s="4" t="s">
        <v>339</v>
      </c>
      <c r="B106" s="1" t="str">
        <f>_xlfn.DISPIMG("ID_58A0701954C0408DB201C38444066E9D",1)</f>
        <v>=DISPIMG("ID_58A0701954C0408DB201C38444066E9D",1)</v>
      </c>
      <c r="C106" s="1" t="s">
        <v>338</v>
      </c>
      <c r="D106" s="4">
        <v>188</v>
      </c>
      <c r="E106" s="4">
        <v>0</v>
      </c>
      <c r="F106" s="4">
        <v>0</v>
      </c>
      <c r="G106" s="4">
        <v>0</v>
      </c>
      <c r="H106" s="4">
        <v>0</v>
      </c>
      <c r="I106" s="4">
        <v>100</v>
      </c>
      <c r="J106" s="4" t="s">
        <v>35</v>
      </c>
      <c r="K106" s="4" t="s">
        <v>35</v>
      </c>
      <c r="L106" s="4">
        <v>55</v>
      </c>
      <c r="M106" s="4">
        <v>45</v>
      </c>
      <c r="N106" s="4">
        <v>40</v>
      </c>
      <c r="O106" s="4">
        <v>40</v>
      </c>
      <c r="P106" s="4">
        <v>45</v>
      </c>
      <c r="Q106" s="4">
        <v>40</v>
      </c>
      <c r="R106" s="4">
        <v>0</v>
      </c>
      <c r="S106" s="4">
        <v>0</v>
      </c>
      <c r="T106" s="4">
        <v>0</v>
      </c>
      <c r="U106" s="4" t="s">
        <v>43</v>
      </c>
      <c r="V106" s="4" t="s">
        <v>34</v>
      </c>
      <c r="W106" s="4" t="s">
        <v>35</v>
      </c>
      <c r="X106" s="4" t="s">
        <v>35</v>
      </c>
      <c r="Y106" s="4">
        <v>32</v>
      </c>
      <c r="Z106" s="4">
        <v>8</v>
      </c>
      <c r="AA106" s="4">
        <v>0</v>
      </c>
      <c r="AB106" s="4">
        <v>0</v>
      </c>
      <c r="AC106" s="4" t="s">
        <v>322</v>
      </c>
      <c r="AD106" s="4" t="s">
        <v>41</v>
      </c>
      <c r="AE106" s="4">
        <v>16</v>
      </c>
      <c r="AF106" s="4">
        <v>135</v>
      </c>
    </row>
    <row r="107" ht="75" spans="1:32">
      <c r="A107" s="4" t="s">
        <v>340</v>
      </c>
      <c r="B107" s="1" t="str">
        <f>_xlfn.DISPIMG("ID_21230A248BC047E58EEA64328DC3FEC1",1)</f>
        <v>=DISPIMG("ID_21230A248BC047E58EEA64328DC3FEC1",1)</v>
      </c>
      <c r="C107" s="1" t="s">
        <v>338</v>
      </c>
      <c r="D107" s="4">
        <v>203</v>
      </c>
      <c r="E107" s="4">
        <v>0</v>
      </c>
      <c r="F107" s="4">
        <v>0</v>
      </c>
      <c r="G107" s="4">
        <v>74</v>
      </c>
      <c r="H107" s="4">
        <v>0</v>
      </c>
      <c r="I107" s="4">
        <v>100</v>
      </c>
      <c r="J107" s="4" t="s">
        <v>35</v>
      </c>
      <c r="K107" s="4" t="s">
        <v>35</v>
      </c>
      <c r="L107" s="4">
        <v>55</v>
      </c>
      <c r="M107" s="4">
        <v>45</v>
      </c>
      <c r="N107" s="4">
        <v>40</v>
      </c>
      <c r="O107" s="4">
        <v>40</v>
      </c>
      <c r="P107" s="4">
        <v>45</v>
      </c>
      <c r="Q107" s="4">
        <v>40</v>
      </c>
      <c r="R107" s="4">
        <v>0</v>
      </c>
      <c r="S107" s="4">
        <v>0</v>
      </c>
      <c r="T107" s="4">
        <v>0</v>
      </c>
      <c r="U107" s="4" t="s">
        <v>43</v>
      </c>
      <c r="V107" s="4" t="s">
        <v>34</v>
      </c>
      <c r="W107" s="4" t="s">
        <v>35</v>
      </c>
      <c r="X107" s="4" t="s">
        <v>43</v>
      </c>
      <c r="Y107" s="4">
        <v>40</v>
      </c>
      <c r="Z107" s="4">
        <v>0</v>
      </c>
      <c r="AA107" s="4">
        <v>0</v>
      </c>
      <c r="AB107" s="4">
        <v>0</v>
      </c>
      <c r="AC107" s="4" t="s">
        <v>341</v>
      </c>
      <c r="AD107" s="4" t="s">
        <v>342</v>
      </c>
      <c r="AE107" s="4">
        <v>20</v>
      </c>
      <c r="AF107" s="4">
        <v>165</v>
      </c>
    </row>
    <row r="108" ht="75" spans="1:32">
      <c r="A108" s="4" t="s">
        <v>343</v>
      </c>
      <c r="B108" s="1" t="str">
        <f>_xlfn.DISPIMG("ID_45B9A86FDF3844D98822C2336A18A128",1)</f>
        <v>=DISPIMG("ID_45B9A86FDF3844D98822C2336A18A128",1)</v>
      </c>
      <c r="C108" s="1" t="s">
        <v>338</v>
      </c>
      <c r="D108" s="4">
        <v>157</v>
      </c>
      <c r="E108" s="4">
        <v>0</v>
      </c>
      <c r="F108" s="4">
        <v>88</v>
      </c>
      <c r="G108" s="4">
        <v>0</v>
      </c>
      <c r="H108" s="4">
        <v>0</v>
      </c>
      <c r="I108" s="4">
        <v>100</v>
      </c>
      <c r="J108" s="4" t="s">
        <v>35</v>
      </c>
      <c r="K108" s="4" t="s">
        <v>35</v>
      </c>
      <c r="L108" s="4">
        <v>50</v>
      </c>
      <c r="M108" s="4">
        <v>40</v>
      </c>
      <c r="N108" s="4">
        <v>35</v>
      </c>
      <c r="O108" s="4">
        <v>35</v>
      </c>
      <c r="P108" s="4">
        <v>40</v>
      </c>
      <c r="Q108" s="4">
        <v>40</v>
      </c>
      <c r="R108" s="4">
        <v>0</v>
      </c>
      <c r="S108" s="4">
        <v>0</v>
      </c>
      <c r="T108" s="4">
        <v>0</v>
      </c>
      <c r="U108" s="4" t="s">
        <v>53</v>
      </c>
      <c r="V108" s="4" t="s">
        <v>34</v>
      </c>
      <c r="W108" s="4" t="s">
        <v>43</v>
      </c>
      <c r="X108" s="4" t="s">
        <v>43</v>
      </c>
      <c r="Y108" s="4">
        <v>28</v>
      </c>
      <c r="Z108" s="4">
        <v>0</v>
      </c>
      <c r="AA108" s="4">
        <v>12</v>
      </c>
      <c r="AB108" s="4">
        <v>12</v>
      </c>
      <c r="AC108" s="4" t="s">
        <v>344</v>
      </c>
      <c r="AD108" s="4" t="s">
        <v>342</v>
      </c>
      <c r="AE108" s="4">
        <v>14.5</v>
      </c>
      <c r="AF108" s="4">
        <v>60</v>
      </c>
    </row>
    <row r="109" ht="75" spans="1:32">
      <c r="A109" s="4" t="s">
        <v>345</v>
      </c>
      <c r="B109" s="1" t="str">
        <f>_xlfn.DISPIMG("ID_83E6D7DF50E948B3A52E619B80479251",1)</f>
        <v>=DISPIMG("ID_83E6D7DF50E948B3A52E619B80479251",1)</v>
      </c>
      <c r="C109" s="1" t="s">
        <v>338</v>
      </c>
      <c r="D109" s="4">
        <v>201</v>
      </c>
      <c r="E109" s="4">
        <v>0</v>
      </c>
      <c r="F109" s="4">
        <v>0</v>
      </c>
      <c r="G109" s="4">
        <v>0</v>
      </c>
      <c r="H109" s="4">
        <v>0</v>
      </c>
      <c r="I109" s="4">
        <v>100</v>
      </c>
      <c r="J109" s="4" t="s">
        <v>35</v>
      </c>
      <c r="K109" s="4" t="s">
        <v>35</v>
      </c>
      <c r="L109" s="4">
        <v>60</v>
      </c>
      <c r="M109" s="4">
        <v>45</v>
      </c>
      <c r="N109" s="4">
        <v>50</v>
      </c>
      <c r="O109" s="4">
        <v>40</v>
      </c>
      <c r="P109" s="4">
        <v>45</v>
      </c>
      <c r="Q109" s="4">
        <v>40</v>
      </c>
      <c r="R109" s="4">
        <v>0</v>
      </c>
      <c r="S109" s="4">
        <v>0</v>
      </c>
      <c r="T109" s="4">
        <v>0</v>
      </c>
      <c r="U109" s="4" t="s">
        <v>53</v>
      </c>
      <c r="V109" s="4" t="s">
        <v>43</v>
      </c>
      <c r="W109" s="4" t="s">
        <v>35</v>
      </c>
      <c r="X109" s="4" t="s">
        <v>35</v>
      </c>
      <c r="Y109" s="4">
        <v>36</v>
      </c>
      <c r="Z109" s="4">
        <v>18</v>
      </c>
      <c r="AA109" s="4">
        <v>0</v>
      </c>
      <c r="AB109" s="4">
        <v>0</v>
      </c>
      <c r="AC109" s="4" t="s">
        <v>322</v>
      </c>
      <c r="AD109" s="4" t="s">
        <v>41</v>
      </c>
      <c r="AE109" s="4">
        <v>19.5</v>
      </c>
      <c r="AF109" s="4">
        <v>150</v>
      </c>
    </row>
    <row r="110" ht="75" spans="1:32">
      <c r="A110" s="4" t="s">
        <v>346</v>
      </c>
      <c r="B110" s="1" t="str">
        <f>_xlfn.DISPIMG("ID_B550DE0E54FF4E3B97D81918C78D5852",1)</f>
        <v>=DISPIMG("ID_B550DE0E54FF4E3B97D81918C78D5852",1)</v>
      </c>
      <c r="C110" s="1" t="s">
        <v>338</v>
      </c>
      <c r="D110" s="4">
        <v>167</v>
      </c>
      <c r="E110" s="4">
        <v>0</v>
      </c>
      <c r="F110" s="4">
        <v>0</v>
      </c>
      <c r="G110" s="4">
        <v>0</v>
      </c>
      <c r="H110" s="4">
        <v>0</v>
      </c>
      <c r="I110" s="4">
        <v>100</v>
      </c>
      <c r="J110" s="4" t="s">
        <v>35</v>
      </c>
      <c r="K110" s="4" t="s">
        <v>35</v>
      </c>
      <c r="L110" s="4">
        <v>50</v>
      </c>
      <c r="M110" s="4">
        <v>40</v>
      </c>
      <c r="N110" s="4">
        <v>35</v>
      </c>
      <c r="O110" s="4">
        <v>35</v>
      </c>
      <c r="P110" s="4">
        <v>40</v>
      </c>
      <c r="Q110" s="4">
        <v>35</v>
      </c>
      <c r="R110" s="4">
        <v>0</v>
      </c>
      <c r="S110" s="4">
        <v>0</v>
      </c>
      <c r="T110" s="4">
        <v>0</v>
      </c>
      <c r="U110" s="4" t="s">
        <v>43</v>
      </c>
      <c r="V110" s="4" t="s">
        <v>34</v>
      </c>
      <c r="W110" s="4" t="s">
        <v>35</v>
      </c>
      <c r="X110" s="4" t="s">
        <v>35</v>
      </c>
      <c r="Y110" s="4">
        <v>24</v>
      </c>
      <c r="Z110" s="4">
        <v>10</v>
      </c>
      <c r="AA110" s="4">
        <v>0</v>
      </c>
      <c r="AB110" s="4">
        <v>0</v>
      </c>
      <c r="AC110" s="4" t="s">
        <v>326</v>
      </c>
      <c r="AD110" s="4" t="s">
        <v>41</v>
      </c>
      <c r="AE110" s="4">
        <v>14</v>
      </c>
      <c r="AF110" s="4">
        <v>85</v>
      </c>
    </row>
    <row r="111" ht="75" spans="1:32">
      <c r="A111" s="4" t="s">
        <v>347</v>
      </c>
      <c r="B111" s="1" t="str">
        <f>_xlfn.DISPIMG("ID_52E28A0760684D26A8C60367F346AB58",1)</f>
        <v>=DISPIMG("ID_52E28A0760684D26A8C60367F346AB58",1)</v>
      </c>
      <c r="C111" s="1" t="s">
        <v>338</v>
      </c>
      <c r="D111" s="4">
        <v>154</v>
      </c>
      <c r="E111" s="4">
        <v>0</v>
      </c>
      <c r="F111" s="4">
        <v>0</v>
      </c>
      <c r="G111" s="4">
        <v>0</v>
      </c>
      <c r="H111" s="4">
        <v>0</v>
      </c>
      <c r="I111" s="4">
        <v>100</v>
      </c>
      <c r="J111" s="4" t="s">
        <v>35</v>
      </c>
      <c r="K111" s="4" t="s">
        <v>35</v>
      </c>
      <c r="L111" s="4">
        <v>55</v>
      </c>
      <c r="M111" s="4">
        <v>45</v>
      </c>
      <c r="N111" s="4">
        <v>40</v>
      </c>
      <c r="O111" s="4">
        <v>40</v>
      </c>
      <c r="P111" s="4">
        <v>45</v>
      </c>
      <c r="Q111" s="4">
        <v>40</v>
      </c>
      <c r="R111" s="4">
        <v>0</v>
      </c>
      <c r="S111" s="4">
        <v>0</v>
      </c>
      <c r="T111" s="4">
        <v>0</v>
      </c>
      <c r="U111" s="4" t="s">
        <v>53</v>
      </c>
      <c r="V111" s="4" t="s">
        <v>35</v>
      </c>
      <c r="W111" s="4" t="s">
        <v>35</v>
      </c>
      <c r="X111" s="4" t="s">
        <v>43</v>
      </c>
      <c r="Y111" s="4">
        <v>24</v>
      </c>
      <c r="Z111" s="4">
        <v>0</v>
      </c>
      <c r="AA111" s="4">
        <v>0</v>
      </c>
      <c r="AB111" s="4">
        <v>15</v>
      </c>
      <c r="AC111" s="4" t="s">
        <v>348</v>
      </c>
      <c r="AD111" s="4" t="s">
        <v>48</v>
      </c>
      <c r="AE111" s="4">
        <v>17</v>
      </c>
      <c r="AF111" s="4">
        <v>115</v>
      </c>
    </row>
    <row r="112" ht="75" spans="1:32">
      <c r="A112" s="4" t="s">
        <v>349</v>
      </c>
      <c r="B112" s="1" t="str">
        <f>_xlfn.DISPIMG("ID_B3FFBABB94A34E7CBCDBF9D52E6F59B9",1)</f>
        <v>=DISPIMG("ID_B3FFBABB94A34E7CBCDBF9D52E6F59B9",1)</v>
      </c>
      <c r="C112" s="1" t="s">
        <v>350</v>
      </c>
      <c r="D112" s="4">
        <v>108</v>
      </c>
      <c r="E112" s="4">
        <v>0</v>
      </c>
      <c r="F112" s="4">
        <v>0</v>
      </c>
      <c r="G112" s="4">
        <v>0</v>
      </c>
      <c r="H112" s="4">
        <v>0</v>
      </c>
      <c r="I112" s="4">
        <v>100</v>
      </c>
      <c r="J112" s="4" t="s">
        <v>35</v>
      </c>
      <c r="K112" s="4" t="s">
        <v>35</v>
      </c>
      <c r="L112" s="4">
        <v>40</v>
      </c>
      <c r="M112" s="4">
        <v>25</v>
      </c>
      <c r="N112" s="4">
        <v>35</v>
      </c>
      <c r="O112" s="4">
        <v>30</v>
      </c>
      <c r="P112" s="4">
        <v>25</v>
      </c>
      <c r="Q112" s="4">
        <v>30</v>
      </c>
      <c r="R112" s="4">
        <v>0</v>
      </c>
      <c r="S112" s="4">
        <v>0</v>
      </c>
      <c r="T112" s="4">
        <v>0</v>
      </c>
      <c r="U112" s="4" t="s">
        <v>53</v>
      </c>
      <c r="V112" s="4" t="s">
        <v>35</v>
      </c>
      <c r="W112" s="4" t="s">
        <v>35</v>
      </c>
      <c r="X112" s="4" t="s">
        <v>35</v>
      </c>
      <c r="Y112" s="4">
        <v>10</v>
      </c>
      <c r="Z112" s="4">
        <v>0</v>
      </c>
      <c r="AA112" s="4">
        <v>0</v>
      </c>
      <c r="AB112" s="4">
        <v>0</v>
      </c>
      <c r="AC112" s="4" t="s">
        <v>322</v>
      </c>
      <c r="AD112" s="4" t="s">
        <v>41</v>
      </c>
      <c r="AE112" s="4">
        <v>2.5</v>
      </c>
      <c r="AF112" s="4">
        <v>90</v>
      </c>
    </row>
    <row r="113" ht="75" spans="1:32">
      <c r="A113" s="4" t="s">
        <v>351</v>
      </c>
      <c r="B113" s="1" t="str">
        <f>_xlfn.DISPIMG("ID_D14ECCA2D6EC415CB2CF59BA73A08EB2",1)</f>
        <v>=DISPIMG("ID_D14ECCA2D6EC415CB2CF59BA73A08EB2",1)</v>
      </c>
      <c r="C113" s="1" t="s">
        <v>350</v>
      </c>
      <c r="D113" s="4">
        <v>115</v>
      </c>
      <c r="E113" s="4">
        <v>0</v>
      </c>
      <c r="F113" s="4">
        <v>0</v>
      </c>
      <c r="G113" s="4">
        <v>0</v>
      </c>
      <c r="H113" s="4">
        <v>0</v>
      </c>
      <c r="I113" s="4">
        <v>100</v>
      </c>
      <c r="J113" s="4" t="s">
        <v>35</v>
      </c>
      <c r="K113" s="4" t="s">
        <v>35</v>
      </c>
      <c r="L113" s="4">
        <v>45</v>
      </c>
      <c r="M113" s="4">
        <v>30</v>
      </c>
      <c r="N113" s="4">
        <v>25</v>
      </c>
      <c r="O113" s="4">
        <v>25</v>
      </c>
      <c r="P113" s="4">
        <v>30</v>
      </c>
      <c r="Q113" s="4">
        <v>30</v>
      </c>
      <c r="R113" s="4">
        <v>0</v>
      </c>
      <c r="S113" s="4">
        <v>0</v>
      </c>
      <c r="T113" s="4">
        <v>0</v>
      </c>
      <c r="U113" s="4" t="s">
        <v>53</v>
      </c>
      <c r="V113" s="4" t="s">
        <v>34</v>
      </c>
      <c r="W113" s="4" t="s">
        <v>35</v>
      </c>
      <c r="X113" s="4" t="s">
        <v>35</v>
      </c>
      <c r="Y113" s="4">
        <v>12</v>
      </c>
      <c r="Z113" s="4">
        <v>7</v>
      </c>
      <c r="AA113" s="4">
        <v>0</v>
      </c>
      <c r="AB113" s="4">
        <v>0</v>
      </c>
      <c r="AC113" s="4" t="s">
        <v>213</v>
      </c>
      <c r="AD113" s="4" t="s">
        <v>70</v>
      </c>
      <c r="AE113" s="4">
        <v>5</v>
      </c>
      <c r="AF113" s="4">
        <v>80</v>
      </c>
    </row>
    <row r="114" ht="75" spans="1:32">
      <c r="A114" s="4" t="s">
        <v>352</v>
      </c>
      <c r="B114" s="1" t="str">
        <f>_xlfn.DISPIMG("ID_3900625F78184DF49F7972935AB4934A",1)</f>
        <v>=DISPIMG("ID_3900625F78184DF49F7972935AB4934A",1)</v>
      </c>
      <c r="C114" s="1" t="s">
        <v>350</v>
      </c>
      <c r="D114" s="4">
        <v>122</v>
      </c>
      <c r="E114" s="4">
        <v>0</v>
      </c>
      <c r="F114" s="4">
        <v>0</v>
      </c>
      <c r="G114" s="4">
        <v>0</v>
      </c>
      <c r="H114" s="4">
        <v>0</v>
      </c>
      <c r="I114" s="4">
        <v>100</v>
      </c>
      <c r="J114" s="4" t="s">
        <v>35</v>
      </c>
      <c r="K114" s="4" t="s">
        <v>35</v>
      </c>
      <c r="L114" s="4">
        <v>45</v>
      </c>
      <c r="M114" s="4">
        <v>30</v>
      </c>
      <c r="N114" s="4">
        <v>25</v>
      </c>
      <c r="O114" s="4">
        <v>25</v>
      </c>
      <c r="P114" s="4">
        <v>30</v>
      </c>
      <c r="Q114" s="4">
        <v>30</v>
      </c>
      <c r="R114" s="4">
        <v>30</v>
      </c>
      <c r="S114" s="4">
        <v>0</v>
      </c>
      <c r="T114" s="4">
        <v>0</v>
      </c>
      <c r="U114" s="4" t="s">
        <v>43</v>
      </c>
      <c r="V114" s="4" t="s">
        <v>34</v>
      </c>
      <c r="W114" s="4" t="s">
        <v>35</v>
      </c>
      <c r="X114" s="4" t="s">
        <v>35</v>
      </c>
      <c r="Y114" s="4">
        <v>11</v>
      </c>
      <c r="Z114" s="4">
        <v>9</v>
      </c>
      <c r="AA114" s="4">
        <v>0</v>
      </c>
      <c r="AB114" s="4">
        <v>0</v>
      </c>
      <c r="AC114" s="4" t="s">
        <v>213</v>
      </c>
      <c r="AD114" s="4" t="s">
        <v>70</v>
      </c>
      <c r="AE114" s="4">
        <v>5</v>
      </c>
      <c r="AF114" s="4">
        <v>80</v>
      </c>
    </row>
    <row r="115" ht="75" spans="1:32">
      <c r="A115" s="4" t="s">
        <v>353</v>
      </c>
      <c r="B115" s="1" t="str">
        <f>_xlfn.DISPIMG("ID_A4625E512F694BDBA6472579632F77EE",1)</f>
        <v>=DISPIMG("ID_A4625E512F694BDBA6472579632F77EE",1)</v>
      </c>
      <c r="C115" s="1" t="s">
        <v>350</v>
      </c>
      <c r="D115" s="4">
        <v>110</v>
      </c>
      <c r="E115" s="4">
        <v>0</v>
      </c>
      <c r="F115" s="4">
        <v>0</v>
      </c>
      <c r="G115" s="4">
        <v>0</v>
      </c>
      <c r="H115" s="4">
        <v>0</v>
      </c>
      <c r="I115" s="4">
        <v>100</v>
      </c>
      <c r="J115" s="4" t="s">
        <v>35</v>
      </c>
      <c r="K115" s="4" t="s">
        <v>35</v>
      </c>
      <c r="L115" s="4">
        <v>45</v>
      </c>
      <c r="M115" s="4">
        <v>30</v>
      </c>
      <c r="N115" s="4">
        <v>30</v>
      </c>
      <c r="O115" s="4">
        <v>30</v>
      </c>
      <c r="P115" s="4">
        <v>30</v>
      </c>
      <c r="Q115" s="4">
        <v>30</v>
      </c>
      <c r="R115" s="4">
        <v>30</v>
      </c>
      <c r="S115" s="4">
        <v>0</v>
      </c>
      <c r="T115" s="4">
        <v>0</v>
      </c>
      <c r="U115" s="4" t="s">
        <v>53</v>
      </c>
      <c r="V115" s="4" t="s">
        <v>35</v>
      </c>
      <c r="W115" s="4" t="s">
        <v>35</v>
      </c>
      <c r="X115" s="4" t="s">
        <v>35</v>
      </c>
      <c r="Y115" s="4">
        <v>12</v>
      </c>
      <c r="Z115" s="4">
        <v>0</v>
      </c>
      <c r="AA115" s="4">
        <v>0</v>
      </c>
      <c r="AB115" s="4">
        <v>0</v>
      </c>
      <c r="AC115" s="4" t="s">
        <v>322</v>
      </c>
      <c r="AD115" s="4" t="s">
        <v>41</v>
      </c>
      <c r="AE115" s="4">
        <v>4</v>
      </c>
      <c r="AF115" s="4">
        <v>45</v>
      </c>
    </row>
    <row r="116" ht="75" spans="1:32">
      <c r="A116" s="4" t="s">
        <v>354</v>
      </c>
      <c r="B116" s="1" t="str">
        <f>_xlfn.DISPIMG("ID_5C1F2D7DA425423BAD12F003A69AEE4F",1)</f>
        <v>=DISPIMG("ID_5C1F2D7DA425423BAD12F003A69AEE4F",1)</v>
      </c>
      <c r="C116" s="1" t="s">
        <v>350</v>
      </c>
      <c r="D116" s="4">
        <v>93</v>
      </c>
      <c r="E116" s="4">
        <v>70</v>
      </c>
      <c r="F116" s="4">
        <v>0</v>
      </c>
      <c r="G116" s="4">
        <v>0</v>
      </c>
      <c r="H116" s="4">
        <v>0</v>
      </c>
      <c r="I116" s="4">
        <v>100</v>
      </c>
      <c r="J116" s="4">
        <v>101</v>
      </c>
      <c r="K116" s="6"/>
      <c r="L116" s="4">
        <v>50</v>
      </c>
      <c r="M116" s="4">
        <v>30</v>
      </c>
      <c r="N116" s="4">
        <v>25</v>
      </c>
      <c r="O116" s="4">
        <v>25</v>
      </c>
      <c r="P116" s="4">
        <v>30</v>
      </c>
      <c r="Q116" s="4">
        <v>35</v>
      </c>
      <c r="R116" s="4">
        <v>0</v>
      </c>
      <c r="S116" s="4">
        <v>0</v>
      </c>
      <c r="T116" s="4">
        <v>0</v>
      </c>
      <c r="U116" s="4" t="s">
        <v>43</v>
      </c>
      <c r="V116" s="4" t="s">
        <v>34</v>
      </c>
      <c r="W116" s="4" t="s">
        <v>53</v>
      </c>
      <c r="X116" s="4" t="s">
        <v>35</v>
      </c>
      <c r="Y116" s="4">
        <v>12</v>
      </c>
      <c r="Z116" s="4">
        <v>10</v>
      </c>
      <c r="AA116" s="4">
        <v>19</v>
      </c>
      <c r="AB116" s="4">
        <v>0</v>
      </c>
      <c r="AC116" s="4" t="s">
        <v>37</v>
      </c>
      <c r="AD116" s="4" t="s">
        <v>70</v>
      </c>
      <c r="AE116" s="4">
        <v>4.5</v>
      </c>
      <c r="AF116" s="4">
        <v>70</v>
      </c>
    </row>
    <row r="117" ht="75" spans="1:32">
      <c r="A117" s="4" t="s">
        <v>355</v>
      </c>
      <c r="B117" s="1" t="str">
        <f>_xlfn.DISPIMG("ID_F61FACCDE5404434B2CCE3170FBAA84E",1)</f>
        <v>=DISPIMG("ID_F61FACCDE5404434B2CCE3170FBAA84E",1)</v>
      </c>
      <c r="C117" s="1" t="s">
        <v>350</v>
      </c>
      <c r="D117" s="4">
        <v>113</v>
      </c>
      <c r="E117" s="4">
        <v>0</v>
      </c>
      <c r="F117" s="4">
        <v>0</v>
      </c>
      <c r="G117" s="4">
        <v>0</v>
      </c>
      <c r="H117" s="4">
        <v>0</v>
      </c>
      <c r="I117" s="4">
        <v>100</v>
      </c>
      <c r="J117" s="4" t="s">
        <v>35</v>
      </c>
      <c r="K117" s="4" t="s">
        <v>35</v>
      </c>
      <c r="L117" s="4">
        <v>45</v>
      </c>
      <c r="M117" s="4">
        <v>30</v>
      </c>
      <c r="N117" s="4">
        <v>25</v>
      </c>
      <c r="O117" s="4">
        <v>25</v>
      </c>
      <c r="P117" s="4">
        <v>30</v>
      </c>
      <c r="Q117" s="4">
        <v>30</v>
      </c>
      <c r="R117" s="4">
        <v>0</v>
      </c>
      <c r="S117" s="4">
        <v>0</v>
      </c>
      <c r="T117" s="4">
        <v>0</v>
      </c>
      <c r="U117" s="4" t="s">
        <v>53</v>
      </c>
      <c r="V117" s="4" t="s">
        <v>34</v>
      </c>
      <c r="W117" s="4" t="s">
        <v>35</v>
      </c>
      <c r="X117" s="4" t="s">
        <v>35</v>
      </c>
      <c r="Y117" s="4">
        <v>12</v>
      </c>
      <c r="Z117" s="4">
        <v>10</v>
      </c>
      <c r="AA117" s="4">
        <v>0</v>
      </c>
      <c r="AB117" s="4">
        <v>0</v>
      </c>
      <c r="AC117" s="4" t="s">
        <v>356</v>
      </c>
      <c r="AD117" s="4" t="s">
        <v>70</v>
      </c>
      <c r="AE117" s="4">
        <v>4.5</v>
      </c>
      <c r="AF117" s="4">
        <v>70</v>
      </c>
    </row>
    <row r="118" ht="75" spans="1:32">
      <c r="A118" s="4" t="s">
        <v>357</v>
      </c>
      <c r="B118" s="1" t="str">
        <f>_xlfn.DISPIMG("ID_C7AFE5FABEFB4D41AF72ECD35F22DC18",1)</f>
        <v>=DISPIMG("ID_C7AFE5FABEFB4D41AF72ECD35F22DC18",1)</v>
      </c>
      <c r="C118" s="1" t="s">
        <v>350</v>
      </c>
      <c r="D118" s="4">
        <v>105</v>
      </c>
      <c r="E118" s="4">
        <v>0</v>
      </c>
      <c r="F118" s="4">
        <v>0</v>
      </c>
      <c r="G118" s="4">
        <v>0</v>
      </c>
      <c r="H118" s="4">
        <v>0</v>
      </c>
      <c r="I118" s="4">
        <v>100</v>
      </c>
      <c r="J118" s="4" t="s">
        <v>35</v>
      </c>
      <c r="K118" s="4" t="s">
        <v>35</v>
      </c>
      <c r="L118" s="4">
        <v>45</v>
      </c>
      <c r="M118" s="4">
        <v>30</v>
      </c>
      <c r="N118" s="4">
        <v>25</v>
      </c>
      <c r="O118" s="4">
        <v>25</v>
      </c>
      <c r="P118" s="4">
        <v>30</v>
      </c>
      <c r="Q118" s="4">
        <v>30</v>
      </c>
      <c r="R118" s="4">
        <v>0</v>
      </c>
      <c r="S118" s="4">
        <v>0</v>
      </c>
      <c r="T118" s="4">
        <v>0</v>
      </c>
      <c r="U118" s="4" t="s">
        <v>53</v>
      </c>
      <c r="V118" s="4" t="s">
        <v>35</v>
      </c>
      <c r="W118" s="4" t="s">
        <v>35</v>
      </c>
      <c r="X118" s="4" t="s">
        <v>35</v>
      </c>
      <c r="Y118" s="4">
        <v>13</v>
      </c>
      <c r="Z118" s="4">
        <v>13</v>
      </c>
      <c r="AA118" s="4">
        <v>0</v>
      </c>
      <c r="AB118" s="4">
        <v>0</v>
      </c>
      <c r="AC118" s="4" t="s">
        <v>213</v>
      </c>
      <c r="AD118" s="4" t="s">
        <v>70</v>
      </c>
      <c r="AE118" s="4">
        <v>5</v>
      </c>
      <c r="AF118" s="4">
        <v>95</v>
      </c>
    </row>
    <row r="119" ht="75" spans="1:32">
      <c r="A119" s="4" t="s">
        <v>358</v>
      </c>
      <c r="B119" s="1" t="str">
        <f>_xlfn.DISPIMG("ID_D0DD7D91CE304F8A9235BA7AFF136B26",1)</f>
        <v>=DISPIMG("ID_D0DD7D91CE304F8A9235BA7AFF136B26",1)</v>
      </c>
      <c r="C119" s="1" t="s">
        <v>350</v>
      </c>
      <c r="D119" s="4">
        <v>110</v>
      </c>
      <c r="E119" s="4">
        <v>0</v>
      </c>
      <c r="F119" s="4">
        <v>0</v>
      </c>
      <c r="G119" s="4">
        <v>0</v>
      </c>
      <c r="H119" s="4">
        <v>0</v>
      </c>
      <c r="I119" s="4">
        <v>100</v>
      </c>
      <c r="J119" s="4" t="s">
        <v>35</v>
      </c>
      <c r="K119" s="4" t="s">
        <v>35</v>
      </c>
      <c r="L119" s="4">
        <v>45</v>
      </c>
      <c r="M119" s="4">
        <v>30</v>
      </c>
      <c r="N119" s="4">
        <v>25</v>
      </c>
      <c r="O119" s="4">
        <v>25</v>
      </c>
      <c r="P119" s="4">
        <v>30</v>
      </c>
      <c r="Q119" s="4">
        <v>30</v>
      </c>
      <c r="R119" s="4">
        <v>0</v>
      </c>
      <c r="S119" s="4">
        <v>0</v>
      </c>
      <c r="T119" s="4">
        <v>0</v>
      </c>
      <c r="U119" s="4" t="s">
        <v>53</v>
      </c>
      <c r="V119" s="4" t="s">
        <v>34</v>
      </c>
      <c r="W119" s="4" t="s">
        <v>35</v>
      </c>
      <c r="X119" s="4" t="s">
        <v>35</v>
      </c>
      <c r="Y119" s="4">
        <v>18</v>
      </c>
      <c r="Z119" s="4">
        <v>16</v>
      </c>
      <c r="AA119" s="4">
        <v>0</v>
      </c>
      <c r="AB119" s="4">
        <v>0</v>
      </c>
      <c r="AC119" s="4" t="s">
        <v>359</v>
      </c>
      <c r="AD119" s="4" t="s">
        <v>268</v>
      </c>
      <c r="AE119" s="4">
        <v>9</v>
      </c>
      <c r="AF119" s="4">
        <v>80</v>
      </c>
    </row>
    <row r="120" ht="75" spans="1:32">
      <c r="A120" s="4" t="s">
        <v>360</v>
      </c>
      <c r="B120" s="1" t="str">
        <f>_xlfn.DISPIMG("ID_B3B19AC0952A4AD680EDECA1C72DBE2D",1)</f>
        <v>=DISPIMG("ID_B3B19AC0952A4AD680EDECA1C72DBE2D",1)</v>
      </c>
      <c r="C120" s="1" t="s">
        <v>361</v>
      </c>
      <c r="D120" s="4">
        <v>148</v>
      </c>
      <c r="E120" s="4">
        <v>0</v>
      </c>
      <c r="F120" s="4">
        <v>0</v>
      </c>
      <c r="G120" s="4">
        <v>0</v>
      </c>
      <c r="H120" s="4">
        <v>0</v>
      </c>
      <c r="I120" s="4">
        <v>100</v>
      </c>
      <c r="J120" s="4" t="s">
        <v>35</v>
      </c>
      <c r="K120" s="4" t="s">
        <v>35</v>
      </c>
      <c r="L120" s="4">
        <v>50</v>
      </c>
      <c r="M120" s="4">
        <v>35</v>
      </c>
      <c r="N120" s="4">
        <v>45</v>
      </c>
      <c r="O120" s="4">
        <v>40</v>
      </c>
      <c r="P120" s="4">
        <v>35</v>
      </c>
      <c r="Q120" s="4">
        <v>40</v>
      </c>
      <c r="R120" s="4">
        <v>0</v>
      </c>
      <c r="S120" s="4">
        <v>0</v>
      </c>
      <c r="T120" s="4">
        <v>0</v>
      </c>
      <c r="U120" s="4" t="s">
        <v>53</v>
      </c>
      <c r="V120" s="4" t="s">
        <v>35</v>
      </c>
      <c r="W120" s="4" t="s">
        <v>35</v>
      </c>
      <c r="X120" s="4" t="s">
        <v>35</v>
      </c>
      <c r="Y120" s="4">
        <v>22</v>
      </c>
      <c r="Z120" s="4">
        <v>0</v>
      </c>
      <c r="AA120" s="4">
        <v>0</v>
      </c>
      <c r="AB120" s="4">
        <v>0</v>
      </c>
      <c r="AC120" s="4" t="s">
        <v>322</v>
      </c>
      <c r="AD120" s="4" t="s">
        <v>41</v>
      </c>
      <c r="AE120" s="4">
        <v>10</v>
      </c>
      <c r="AF120" s="4">
        <v>125</v>
      </c>
    </row>
    <row r="121" ht="75" spans="1:32">
      <c r="A121" s="4" t="s">
        <v>362</v>
      </c>
      <c r="B121" s="1" t="str">
        <f>_xlfn.DISPIMG("ID_10BF0F15F2F84FA399734D61F8E4D727",1)</f>
        <v>=DISPIMG("ID_10BF0F15F2F84FA399734D61F8E4D727",1)</v>
      </c>
      <c r="C121" s="1" t="s">
        <v>361</v>
      </c>
      <c r="D121" s="4">
        <v>152</v>
      </c>
      <c r="E121" s="4">
        <v>0</v>
      </c>
      <c r="F121" s="4">
        <v>0</v>
      </c>
      <c r="G121" s="4">
        <v>0</v>
      </c>
      <c r="H121" s="4">
        <v>0</v>
      </c>
      <c r="I121" s="4">
        <v>100</v>
      </c>
      <c r="J121" s="4" t="s">
        <v>35</v>
      </c>
      <c r="K121" s="4" t="s">
        <v>35</v>
      </c>
      <c r="L121" s="4">
        <v>55</v>
      </c>
      <c r="M121" s="4">
        <v>40</v>
      </c>
      <c r="N121" s="4">
        <v>45</v>
      </c>
      <c r="O121" s="4">
        <v>40</v>
      </c>
      <c r="P121" s="4">
        <v>40</v>
      </c>
      <c r="Q121" s="4">
        <v>40</v>
      </c>
      <c r="R121" s="4">
        <v>0</v>
      </c>
      <c r="S121" s="4">
        <v>0</v>
      </c>
      <c r="T121" s="4">
        <v>0</v>
      </c>
      <c r="U121" s="4" t="s">
        <v>53</v>
      </c>
      <c r="V121" s="4" t="s">
        <v>35</v>
      </c>
      <c r="W121" s="4" t="s">
        <v>35</v>
      </c>
      <c r="X121" s="4" t="s">
        <v>35</v>
      </c>
      <c r="Y121" s="4">
        <v>28</v>
      </c>
      <c r="Z121" s="4">
        <v>0</v>
      </c>
      <c r="AA121" s="4">
        <v>0</v>
      </c>
      <c r="AB121" s="4">
        <v>0</v>
      </c>
      <c r="AC121" s="4" t="s">
        <v>322</v>
      </c>
      <c r="AD121" s="4" t="s">
        <v>41</v>
      </c>
      <c r="AE121" s="4">
        <v>12</v>
      </c>
      <c r="AF121" s="4">
        <v>280</v>
      </c>
    </row>
    <row r="122" ht="75" spans="1:32">
      <c r="A122" s="4" t="s">
        <v>363</v>
      </c>
      <c r="B122" s="1" t="str">
        <f>_xlfn.DISPIMG("ID_5D75794CA53D452FBA1E743513D8000D",1)</f>
        <v>=DISPIMG("ID_5D75794CA53D452FBA1E743513D8000D",1)</v>
      </c>
      <c r="C122" s="1" t="s">
        <v>361</v>
      </c>
      <c r="D122" s="4">
        <v>173</v>
      </c>
      <c r="E122" s="4">
        <v>0</v>
      </c>
      <c r="F122" s="4">
        <v>0</v>
      </c>
      <c r="G122" s="4">
        <v>0</v>
      </c>
      <c r="H122" s="4">
        <v>0</v>
      </c>
      <c r="I122" s="4">
        <v>100</v>
      </c>
      <c r="J122" s="4" t="s">
        <v>35</v>
      </c>
      <c r="K122" s="4" t="s">
        <v>35</v>
      </c>
      <c r="L122" s="4">
        <v>55</v>
      </c>
      <c r="M122" s="4">
        <v>45</v>
      </c>
      <c r="N122" s="4">
        <v>50</v>
      </c>
      <c r="O122" s="4">
        <v>45</v>
      </c>
      <c r="P122" s="4">
        <v>45</v>
      </c>
      <c r="Q122" s="4">
        <v>45</v>
      </c>
      <c r="R122" s="4">
        <v>0</v>
      </c>
      <c r="S122" s="4">
        <v>0</v>
      </c>
      <c r="T122" s="4">
        <v>0</v>
      </c>
      <c r="U122" s="4" t="s">
        <v>43</v>
      </c>
      <c r="V122" s="4" t="s">
        <v>35</v>
      </c>
      <c r="W122" s="4" t="s">
        <v>35</v>
      </c>
      <c r="X122" s="4" t="s">
        <v>35</v>
      </c>
      <c r="Y122" s="4">
        <v>32</v>
      </c>
      <c r="Z122" s="4">
        <v>0</v>
      </c>
      <c r="AA122" s="4">
        <v>0</v>
      </c>
      <c r="AB122" s="4">
        <v>0</v>
      </c>
      <c r="AC122" s="4" t="s">
        <v>213</v>
      </c>
      <c r="AD122" s="4" t="s">
        <v>62</v>
      </c>
      <c r="AE122" s="4">
        <v>18</v>
      </c>
      <c r="AF122" s="4">
        <v>150</v>
      </c>
    </row>
    <row r="123" ht="75" spans="1:32">
      <c r="A123" s="4" t="s">
        <v>364</v>
      </c>
      <c r="B123" s="1" t="str">
        <f>_xlfn.DISPIMG("ID_88B013361A3A490E9D1CBB8A4DD2B684",1)</f>
        <v>=DISPIMG("ID_88B013361A3A490E9D1CBB8A4DD2B684",1)</v>
      </c>
      <c r="C123" s="1" t="s">
        <v>361</v>
      </c>
      <c r="D123" s="4">
        <v>103</v>
      </c>
      <c r="E123" s="4">
        <v>0</v>
      </c>
      <c r="F123" s="4">
        <v>0</v>
      </c>
      <c r="G123" s="4">
        <v>0</v>
      </c>
      <c r="H123" s="4">
        <v>0</v>
      </c>
      <c r="I123" s="4">
        <v>100</v>
      </c>
      <c r="J123" s="4" t="s">
        <v>35</v>
      </c>
      <c r="K123" s="4" t="s">
        <v>35</v>
      </c>
      <c r="L123" s="4">
        <v>50</v>
      </c>
      <c r="M123" s="4">
        <v>35</v>
      </c>
      <c r="N123" s="4">
        <v>30</v>
      </c>
      <c r="O123" s="4">
        <v>30</v>
      </c>
      <c r="P123" s="4">
        <v>35</v>
      </c>
      <c r="Q123" s="4">
        <v>40</v>
      </c>
      <c r="R123" s="4">
        <v>0</v>
      </c>
      <c r="S123" s="4">
        <v>0</v>
      </c>
      <c r="T123" s="4">
        <v>0</v>
      </c>
      <c r="U123" s="4" t="s">
        <v>53</v>
      </c>
      <c r="V123" s="4" t="s">
        <v>35</v>
      </c>
      <c r="W123" s="4" t="s">
        <v>35</v>
      </c>
      <c r="X123" s="4" t="s">
        <v>35</v>
      </c>
      <c r="Y123" s="4">
        <v>18</v>
      </c>
      <c r="Z123" s="4">
        <v>0</v>
      </c>
      <c r="AA123" s="4">
        <v>0</v>
      </c>
      <c r="AB123" s="4">
        <v>0</v>
      </c>
      <c r="AC123" s="4" t="s">
        <v>359</v>
      </c>
      <c r="AD123" s="4" t="s">
        <v>365</v>
      </c>
      <c r="AE123" s="4">
        <v>6</v>
      </c>
      <c r="AF123" s="4">
        <v>135</v>
      </c>
    </row>
    <row r="124" ht="75" spans="1:32">
      <c r="A124" s="4" t="s">
        <v>366</v>
      </c>
      <c r="B124" s="1" t="str">
        <f>_xlfn.DISPIMG("ID_F372C0F8A13D41D1A9915090A0748A5B",1)</f>
        <v>=DISPIMG("ID_F372C0F8A13D41D1A9915090A0748A5B",1)</v>
      </c>
      <c r="C124" s="1" t="s">
        <v>361</v>
      </c>
      <c r="D124" s="4">
        <v>122</v>
      </c>
      <c r="E124" s="4">
        <v>0</v>
      </c>
      <c r="F124" s="4">
        <v>100</v>
      </c>
      <c r="G124" s="4">
        <v>0</v>
      </c>
      <c r="H124" s="4">
        <v>0</v>
      </c>
      <c r="I124" s="4">
        <v>100</v>
      </c>
      <c r="J124" s="4" t="s">
        <v>35</v>
      </c>
      <c r="K124" s="4" t="s">
        <v>35</v>
      </c>
      <c r="L124" s="4">
        <v>55</v>
      </c>
      <c r="M124" s="4">
        <v>40</v>
      </c>
      <c r="N124" s="4">
        <v>35</v>
      </c>
      <c r="O124" s="4">
        <v>35</v>
      </c>
      <c r="P124" s="4">
        <v>40</v>
      </c>
      <c r="Q124" s="4">
        <v>45</v>
      </c>
      <c r="R124" s="4">
        <v>0</v>
      </c>
      <c r="S124" s="4">
        <v>0</v>
      </c>
      <c r="T124" s="4">
        <v>0</v>
      </c>
      <c r="U124" s="4" t="s">
        <v>43</v>
      </c>
      <c r="V124" s="4" t="s">
        <v>35</v>
      </c>
      <c r="W124" s="4" t="s">
        <v>34</v>
      </c>
      <c r="X124" s="4" t="s">
        <v>34</v>
      </c>
      <c r="Y124" s="4">
        <v>22</v>
      </c>
      <c r="Z124" s="4">
        <v>0</v>
      </c>
      <c r="AA124" s="4">
        <v>9</v>
      </c>
      <c r="AB124" s="4">
        <v>9</v>
      </c>
      <c r="AC124" s="4" t="s">
        <v>148</v>
      </c>
      <c r="AD124" s="4" t="s">
        <v>208</v>
      </c>
      <c r="AE124" s="4">
        <v>11</v>
      </c>
      <c r="AF124" s="4">
        <v>150</v>
      </c>
    </row>
    <row r="125" ht="75" spans="1:32">
      <c r="A125" s="4" t="s">
        <v>367</v>
      </c>
      <c r="B125" s="1" t="str">
        <f>_xlfn.DISPIMG("ID_6A2A40882DA64EDDA6998158DAEE3EA3",1)</f>
        <v>=DISPIMG("ID_6A2A40882DA64EDDA6998158DAEE3EA3",1)</v>
      </c>
      <c r="C125" s="1" t="s">
        <v>361</v>
      </c>
      <c r="D125" s="4">
        <v>176</v>
      </c>
      <c r="E125" s="4">
        <v>0</v>
      </c>
      <c r="F125" s="4">
        <v>0</v>
      </c>
      <c r="G125" s="4">
        <v>0</v>
      </c>
      <c r="H125" s="4">
        <v>0</v>
      </c>
      <c r="I125" s="4">
        <v>100</v>
      </c>
      <c r="J125" s="4" t="s">
        <v>35</v>
      </c>
      <c r="K125" s="4" t="s">
        <v>35</v>
      </c>
      <c r="L125" s="4">
        <v>55</v>
      </c>
      <c r="M125" s="4">
        <v>45</v>
      </c>
      <c r="N125" s="4">
        <v>35</v>
      </c>
      <c r="O125" s="4">
        <v>35</v>
      </c>
      <c r="P125" s="4">
        <v>45</v>
      </c>
      <c r="Q125" s="4">
        <v>45</v>
      </c>
      <c r="R125" s="4">
        <v>0</v>
      </c>
      <c r="S125" s="4">
        <v>0</v>
      </c>
      <c r="T125" s="4">
        <v>110</v>
      </c>
      <c r="U125" s="4" t="s">
        <v>53</v>
      </c>
      <c r="V125" s="4" t="s">
        <v>35</v>
      </c>
      <c r="W125" s="4" t="s">
        <v>35</v>
      </c>
      <c r="X125" s="4" t="s">
        <v>35</v>
      </c>
      <c r="Y125" s="4">
        <v>30</v>
      </c>
      <c r="Z125" s="4">
        <v>0</v>
      </c>
      <c r="AA125" s="4">
        <v>0</v>
      </c>
      <c r="AB125" s="4">
        <v>0</v>
      </c>
      <c r="AC125" s="4" t="s">
        <v>213</v>
      </c>
      <c r="AD125" s="4" t="s">
        <v>62</v>
      </c>
      <c r="AE125" s="4">
        <v>17</v>
      </c>
      <c r="AF125" s="4">
        <v>170</v>
      </c>
    </row>
    <row r="126" ht="75" spans="1:32">
      <c r="A126" s="4" t="s">
        <v>368</v>
      </c>
      <c r="B126" s="1" t="str">
        <f>_xlfn.DISPIMG("ID_D77ED12307104C7FB9DC932468815A5F",1)</f>
        <v>=DISPIMG("ID_D77ED12307104C7FB9DC932468815A5F",1)</v>
      </c>
      <c r="C126" s="1" t="s">
        <v>361</v>
      </c>
      <c r="D126" s="4">
        <v>180</v>
      </c>
      <c r="E126" s="4">
        <v>0</v>
      </c>
      <c r="F126" s="4">
        <v>69</v>
      </c>
      <c r="G126" s="4">
        <v>0</v>
      </c>
      <c r="H126" s="4">
        <v>0</v>
      </c>
      <c r="I126" s="4">
        <v>100</v>
      </c>
      <c r="J126" s="4" t="s">
        <v>35</v>
      </c>
      <c r="K126" s="4" t="s">
        <v>35</v>
      </c>
      <c r="L126" s="4">
        <v>60</v>
      </c>
      <c r="M126" s="4">
        <v>45</v>
      </c>
      <c r="N126" s="4">
        <v>40</v>
      </c>
      <c r="O126" s="4">
        <v>40</v>
      </c>
      <c r="P126" s="4">
        <v>45</v>
      </c>
      <c r="Q126" s="4">
        <v>45</v>
      </c>
      <c r="R126" s="4">
        <v>0</v>
      </c>
      <c r="S126" s="4">
        <v>0</v>
      </c>
      <c r="T126" s="4">
        <v>0</v>
      </c>
      <c r="U126" s="4" t="s">
        <v>43</v>
      </c>
      <c r="V126" s="4" t="s">
        <v>35</v>
      </c>
      <c r="W126" s="4" t="s">
        <v>43</v>
      </c>
      <c r="X126" s="4" t="s">
        <v>43</v>
      </c>
      <c r="Y126" s="4">
        <v>30</v>
      </c>
      <c r="Z126" s="4">
        <v>0</v>
      </c>
      <c r="AA126" s="4">
        <v>10</v>
      </c>
      <c r="AB126" s="4">
        <v>10</v>
      </c>
      <c r="AC126" s="4" t="s">
        <v>369</v>
      </c>
      <c r="AD126" s="4" t="s">
        <v>208</v>
      </c>
      <c r="AE126" s="4">
        <v>18.5</v>
      </c>
      <c r="AF126" s="4">
        <v>185</v>
      </c>
    </row>
    <row r="127" ht="75" spans="1:32">
      <c r="A127" s="4" t="s">
        <v>370</v>
      </c>
      <c r="B127" s="1" t="str">
        <f>_xlfn.DISPIMG("ID_50D8F317BBE046E49731BD9BA88E5C58",1)</f>
        <v>=DISPIMG("ID_50D8F317BBE046E49731BD9BA88E5C58",1)</v>
      </c>
      <c r="C127" s="1" t="s">
        <v>361</v>
      </c>
      <c r="D127" s="4">
        <v>140</v>
      </c>
      <c r="E127" s="4">
        <v>0</v>
      </c>
      <c r="F127" s="4">
        <v>0</v>
      </c>
      <c r="G127" s="4">
        <v>0</v>
      </c>
      <c r="H127" s="4">
        <v>0</v>
      </c>
      <c r="I127" s="4">
        <v>100</v>
      </c>
      <c r="J127" s="4" t="s">
        <v>35</v>
      </c>
      <c r="K127" s="4" t="s">
        <v>35</v>
      </c>
      <c r="L127" s="4">
        <v>50</v>
      </c>
      <c r="M127" s="4">
        <v>35</v>
      </c>
      <c r="N127" s="4">
        <v>30</v>
      </c>
      <c r="O127" s="4">
        <v>30</v>
      </c>
      <c r="P127" s="4">
        <v>35</v>
      </c>
      <c r="Q127" s="4">
        <v>40</v>
      </c>
      <c r="R127" s="4">
        <v>0</v>
      </c>
      <c r="S127" s="4">
        <v>0</v>
      </c>
      <c r="T127" s="4">
        <v>0</v>
      </c>
      <c r="U127" s="4" t="s">
        <v>53</v>
      </c>
      <c r="V127" s="4" t="s">
        <v>35</v>
      </c>
      <c r="W127" s="4" t="s">
        <v>35</v>
      </c>
      <c r="X127" s="4" t="s">
        <v>35</v>
      </c>
      <c r="Y127" s="4">
        <v>18</v>
      </c>
      <c r="Z127" s="4">
        <v>9</v>
      </c>
      <c r="AA127" s="4">
        <v>0</v>
      </c>
      <c r="AB127" s="4">
        <v>0</v>
      </c>
      <c r="AC127" s="4" t="s">
        <v>356</v>
      </c>
      <c r="AD127" s="4" t="s">
        <v>75</v>
      </c>
      <c r="AE127" s="4">
        <v>8</v>
      </c>
      <c r="AF127" s="4">
        <v>105</v>
      </c>
    </row>
    <row r="128" ht="75" spans="1:32">
      <c r="A128" s="4" t="s">
        <v>371</v>
      </c>
      <c r="B128" s="1" t="str">
        <f>_xlfn.DISPIMG("ID_C6C4004A52974160AB072B36F14712C9",1)</f>
        <v>=DISPIMG("ID_C6C4004A52974160AB072B36F14712C9",1)</v>
      </c>
      <c r="C128" s="1" t="s">
        <v>361</v>
      </c>
      <c r="D128" s="4">
        <v>188</v>
      </c>
      <c r="E128" s="4">
        <v>0</v>
      </c>
      <c r="F128" s="4">
        <v>0</v>
      </c>
      <c r="G128" s="4">
        <v>0</v>
      </c>
      <c r="H128" s="4">
        <v>0</v>
      </c>
      <c r="I128" s="4">
        <v>100</v>
      </c>
      <c r="J128" s="4" t="s">
        <v>35</v>
      </c>
      <c r="K128" s="4" t="s">
        <v>35</v>
      </c>
      <c r="L128" s="4">
        <v>60</v>
      </c>
      <c r="M128" s="4">
        <v>45</v>
      </c>
      <c r="N128" s="4">
        <v>40</v>
      </c>
      <c r="O128" s="4">
        <v>40</v>
      </c>
      <c r="P128" s="4">
        <v>45</v>
      </c>
      <c r="Q128" s="4">
        <v>45</v>
      </c>
      <c r="R128" s="4">
        <v>0</v>
      </c>
      <c r="S128" s="4">
        <v>0</v>
      </c>
      <c r="T128" s="4">
        <v>0</v>
      </c>
      <c r="U128" s="4" t="s">
        <v>53</v>
      </c>
      <c r="V128" s="4" t="s">
        <v>35</v>
      </c>
      <c r="W128" s="4" t="s">
        <v>35</v>
      </c>
      <c r="X128" s="4" t="s">
        <v>35</v>
      </c>
      <c r="Y128" s="4">
        <v>40</v>
      </c>
      <c r="Z128" s="4">
        <v>0</v>
      </c>
      <c r="AA128" s="4">
        <v>0</v>
      </c>
      <c r="AB128" s="4">
        <v>0</v>
      </c>
      <c r="AC128" s="4" t="s">
        <v>213</v>
      </c>
      <c r="AD128" s="4" t="s">
        <v>62</v>
      </c>
      <c r="AE128" s="4">
        <v>21</v>
      </c>
      <c r="AF128" s="4">
        <v>340</v>
      </c>
    </row>
    <row r="129" ht="75" spans="1:32">
      <c r="A129" s="4" t="s">
        <v>372</v>
      </c>
      <c r="B129" s="1" t="str">
        <f>_xlfn.DISPIMG("ID_02CFB765224845ACB1808A093E188D8F",1)</f>
        <v>=DISPIMG("ID_02CFB765224845ACB1808A093E188D8F",1)</v>
      </c>
      <c r="C129" s="1" t="s">
        <v>361</v>
      </c>
      <c r="D129" s="4">
        <v>205</v>
      </c>
      <c r="E129" s="4">
        <v>0</v>
      </c>
      <c r="F129" s="4">
        <v>0</v>
      </c>
      <c r="G129" s="4">
        <v>0</v>
      </c>
      <c r="H129" s="4">
        <v>0</v>
      </c>
      <c r="I129" s="4">
        <v>100</v>
      </c>
      <c r="J129" s="4" t="s">
        <v>35</v>
      </c>
      <c r="K129" s="4" t="s">
        <v>35</v>
      </c>
      <c r="L129" s="4">
        <v>70</v>
      </c>
      <c r="M129" s="4">
        <v>50</v>
      </c>
      <c r="N129" s="4">
        <v>45</v>
      </c>
      <c r="O129" s="4">
        <v>45</v>
      </c>
      <c r="P129" s="4">
        <v>50</v>
      </c>
      <c r="Q129" s="4">
        <v>45</v>
      </c>
      <c r="R129" s="4">
        <v>0</v>
      </c>
      <c r="S129" s="4">
        <v>0</v>
      </c>
      <c r="T129" s="4">
        <v>0</v>
      </c>
      <c r="U129" s="4" t="s">
        <v>53</v>
      </c>
      <c r="V129" s="4" t="s">
        <v>35</v>
      </c>
      <c r="W129" s="4" t="s">
        <v>35</v>
      </c>
      <c r="X129" s="4" t="s">
        <v>35</v>
      </c>
      <c r="Y129" s="4">
        <v>45</v>
      </c>
      <c r="Z129" s="4">
        <v>0</v>
      </c>
      <c r="AA129" s="4">
        <v>0</v>
      </c>
      <c r="AB129" s="4">
        <v>0</v>
      </c>
      <c r="AC129" s="4" t="s">
        <v>213</v>
      </c>
      <c r="AD129" s="4" t="s">
        <v>62</v>
      </c>
      <c r="AE129" s="4">
        <v>24</v>
      </c>
      <c r="AF129" s="4">
        <v>205</v>
      </c>
    </row>
    <row r="130" ht="75" spans="1:32">
      <c r="A130" s="4" t="s">
        <v>373</v>
      </c>
      <c r="B130" s="1" t="str">
        <f>_xlfn.DISPIMG("ID_035BEA5918184668B12C14461B8113F8",1)</f>
        <v>=DISPIMG("ID_035BEA5918184668B12C14461B8113F8",1)</v>
      </c>
      <c r="C130" s="1" t="s">
        <v>361</v>
      </c>
      <c r="D130" s="4">
        <v>200</v>
      </c>
      <c r="E130" s="4">
        <v>0</v>
      </c>
      <c r="F130" s="4">
        <v>0</v>
      </c>
      <c r="G130" s="4">
        <v>0</v>
      </c>
      <c r="H130" s="4">
        <v>0</v>
      </c>
      <c r="I130" s="4">
        <v>100</v>
      </c>
      <c r="J130" s="4" t="s">
        <v>35</v>
      </c>
      <c r="K130" s="4" t="s">
        <v>35</v>
      </c>
      <c r="L130" s="4">
        <v>70</v>
      </c>
      <c r="M130" s="4">
        <v>50</v>
      </c>
      <c r="N130" s="4">
        <v>45</v>
      </c>
      <c r="O130" s="4">
        <v>45</v>
      </c>
      <c r="P130" s="4">
        <v>50</v>
      </c>
      <c r="Q130" s="4">
        <v>45</v>
      </c>
      <c r="R130" s="4">
        <v>0</v>
      </c>
      <c r="S130" s="4">
        <v>0</v>
      </c>
      <c r="T130" s="4">
        <v>0</v>
      </c>
      <c r="U130" s="4" t="s">
        <v>43</v>
      </c>
      <c r="V130" s="4" t="s">
        <v>35</v>
      </c>
      <c r="W130" s="4" t="s">
        <v>35</v>
      </c>
      <c r="X130" s="4" t="s">
        <v>43</v>
      </c>
      <c r="Y130" s="4">
        <v>50</v>
      </c>
      <c r="Z130" s="4">
        <v>0</v>
      </c>
      <c r="AA130" s="4">
        <v>0</v>
      </c>
      <c r="AB130" s="4">
        <v>30</v>
      </c>
      <c r="AC130" s="4" t="s">
        <v>374</v>
      </c>
      <c r="AD130" s="4" t="s">
        <v>375</v>
      </c>
      <c r="AE130" s="4">
        <v>24</v>
      </c>
      <c r="AF130" s="4">
        <v>250</v>
      </c>
    </row>
    <row r="131" ht="75" spans="1:32">
      <c r="A131" s="4" t="s">
        <v>376</v>
      </c>
      <c r="B131" s="1" t="str">
        <f>_xlfn.DISPIMG("ID_356562511FA147DAAC23B0EF7DFFB87B",1)</f>
        <v>=DISPIMG("ID_356562511FA147DAAC23B0EF7DFFB87B",1)</v>
      </c>
      <c r="C131" s="1" t="s">
        <v>361</v>
      </c>
      <c r="D131" s="4">
        <v>149</v>
      </c>
      <c r="E131" s="4">
        <v>0</v>
      </c>
      <c r="F131" s="4">
        <v>0</v>
      </c>
      <c r="G131" s="4">
        <v>0</v>
      </c>
      <c r="H131" s="4">
        <v>0</v>
      </c>
      <c r="I131" s="4">
        <v>100</v>
      </c>
      <c r="J131" s="4" t="s">
        <v>35</v>
      </c>
      <c r="K131" s="4" t="s">
        <v>35</v>
      </c>
      <c r="L131" s="4">
        <v>55</v>
      </c>
      <c r="M131" s="4">
        <v>40</v>
      </c>
      <c r="N131" s="4">
        <v>35</v>
      </c>
      <c r="O131" s="4">
        <v>35</v>
      </c>
      <c r="P131" s="4">
        <v>40</v>
      </c>
      <c r="Q131" s="4">
        <v>40</v>
      </c>
      <c r="R131" s="4">
        <v>43</v>
      </c>
      <c r="S131" s="4">
        <v>0</v>
      </c>
      <c r="T131" s="4">
        <v>0</v>
      </c>
      <c r="U131" s="4" t="s">
        <v>53</v>
      </c>
      <c r="V131" s="4" t="s">
        <v>35</v>
      </c>
      <c r="W131" s="4" t="s">
        <v>35</v>
      </c>
      <c r="X131" s="4" t="s">
        <v>35</v>
      </c>
      <c r="Y131" s="4">
        <v>21</v>
      </c>
      <c r="Z131" s="4">
        <v>13</v>
      </c>
      <c r="AA131" s="4">
        <v>0</v>
      </c>
      <c r="AB131" s="4">
        <v>0</v>
      </c>
      <c r="AC131" s="4" t="s">
        <v>359</v>
      </c>
      <c r="AD131" s="4" t="s">
        <v>365</v>
      </c>
      <c r="AE131" s="4">
        <v>16</v>
      </c>
      <c r="AF131" s="4">
        <v>140</v>
      </c>
    </row>
    <row r="132" ht="75" spans="1:32">
      <c r="A132" s="4" t="s">
        <v>377</v>
      </c>
      <c r="B132" s="1" t="str">
        <f>_xlfn.DISPIMG("ID_769FD14C7EA2468E94DEF5421BF53AC8",1)</f>
        <v>=DISPIMG("ID_769FD14C7EA2468E94DEF5421BF53AC8",1)</v>
      </c>
      <c r="C132" s="1" t="s">
        <v>361</v>
      </c>
      <c r="D132" s="4">
        <v>170</v>
      </c>
      <c r="E132" s="4">
        <v>0</v>
      </c>
      <c r="F132" s="4">
        <v>0</v>
      </c>
      <c r="G132" s="4">
        <v>0</v>
      </c>
      <c r="H132" s="4">
        <v>0</v>
      </c>
      <c r="I132" s="4">
        <v>100</v>
      </c>
      <c r="J132" s="4" t="s">
        <v>35</v>
      </c>
      <c r="K132" s="4" t="s">
        <v>35</v>
      </c>
      <c r="L132" s="4">
        <v>55</v>
      </c>
      <c r="M132" s="4">
        <v>40</v>
      </c>
      <c r="N132" s="4">
        <v>35</v>
      </c>
      <c r="O132" s="4">
        <v>35</v>
      </c>
      <c r="P132" s="4">
        <v>40</v>
      </c>
      <c r="Q132" s="4">
        <v>40</v>
      </c>
      <c r="R132" s="4">
        <v>0</v>
      </c>
      <c r="S132" s="4">
        <v>0</v>
      </c>
      <c r="T132" s="4">
        <v>0</v>
      </c>
      <c r="U132" s="4" t="s">
        <v>53</v>
      </c>
      <c r="V132" s="4" t="s">
        <v>35</v>
      </c>
      <c r="W132" s="4" t="s">
        <v>35</v>
      </c>
      <c r="X132" s="4" t="s">
        <v>35</v>
      </c>
      <c r="Y132" s="4">
        <v>40</v>
      </c>
      <c r="Z132" s="4">
        <v>0</v>
      </c>
      <c r="AA132" s="4">
        <v>0</v>
      </c>
      <c r="AB132" s="4">
        <v>0</v>
      </c>
      <c r="AC132" s="4" t="s">
        <v>378</v>
      </c>
      <c r="AD132" s="4" t="s">
        <v>379</v>
      </c>
      <c r="AE132" s="4">
        <v>15</v>
      </c>
      <c r="AF132" s="4">
        <v>150</v>
      </c>
    </row>
    <row r="133" ht="75" spans="1:32">
      <c r="A133" s="4" t="s">
        <v>380</v>
      </c>
      <c r="B133" s="1" t="str">
        <f>_xlfn.DISPIMG("ID_349BFEE499B44EFE835623014CFB6607",1)</f>
        <v>=DISPIMG("ID_349BFEE499B44EFE835623014CFB6607",1)</v>
      </c>
      <c r="C133" s="1" t="s">
        <v>361</v>
      </c>
      <c r="D133" s="4">
        <v>170</v>
      </c>
      <c r="E133" s="4">
        <v>0</v>
      </c>
      <c r="F133" s="4">
        <v>0</v>
      </c>
      <c r="G133" s="4">
        <v>0</v>
      </c>
      <c r="H133" s="4">
        <v>0</v>
      </c>
      <c r="I133" s="4">
        <v>100</v>
      </c>
      <c r="J133" s="4" t="s">
        <v>35</v>
      </c>
      <c r="K133" s="4" t="s">
        <v>35</v>
      </c>
      <c r="L133" s="4">
        <v>85</v>
      </c>
      <c r="M133" s="4">
        <v>55</v>
      </c>
      <c r="N133" s="4">
        <v>60</v>
      </c>
      <c r="O133" s="4">
        <v>55</v>
      </c>
      <c r="P133" s="4">
        <v>55</v>
      </c>
      <c r="Q133" s="4">
        <v>50</v>
      </c>
      <c r="R133" s="4">
        <v>0</v>
      </c>
      <c r="S133" s="4">
        <v>0</v>
      </c>
      <c r="T133" s="4">
        <v>0</v>
      </c>
      <c r="U133" s="4" t="s">
        <v>36</v>
      </c>
      <c r="V133" s="4" t="s">
        <v>35</v>
      </c>
      <c r="W133" s="4" t="s">
        <v>35</v>
      </c>
      <c r="X133" s="4" t="s">
        <v>35</v>
      </c>
      <c r="Y133" s="4">
        <v>60</v>
      </c>
      <c r="Z133" s="4">
        <v>0</v>
      </c>
      <c r="AA133" s="4">
        <v>0</v>
      </c>
      <c r="AB133" s="4">
        <v>0</v>
      </c>
      <c r="AC133" s="4" t="s">
        <v>381</v>
      </c>
      <c r="AD133" s="4" t="s">
        <v>382</v>
      </c>
      <c r="AE133" s="4">
        <v>28</v>
      </c>
      <c r="AF133" s="4">
        <v>310</v>
      </c>
    </row>
    <row r="134" ht="75" spans="1:32">
      <c r="A134" s="4" t="s">
        <v>383</v>
      </c>
      <c r="B134" s="1" t="str">
        <f>_xlfn.DISPIMG("ID_A9F21460FCA44B2FA6CFA66C1B6C5B66",1)</f>
        <v>=DISPIMG("ID_A9F21460FCA44B2FA6CFA66C1B6C5B66",1)</v>
      </c>
      <c r="C134" s="1" t="s">
        <v>383</v>
      </c>
      <c r="D134" s="4">
        <v>104</v>
      </c>
      <c r="E134" s="4">
        <v>0</v>
      </c>
      <c r="F134" s="4">
        <v>0</v>
      </c>
      <c r="G134" s="4">
        <v>0</v>
      </c>
      <c r="H134" s="4">
        <v>0</v>
      </c>
      <c r="I134" s="4">
        <v>100</v>
      </c>
      <c r="J134" s="4" t="s">
        <v>35</v>
      </c>
      <c r="K134" s="4" t="s">
        <v>35</v>
      </c>
      <c r="L134" s="4">
        <v>40</v>
      </c>
      <c r="M134" s="4">
        <v>25</v>
      </c>
      <c r="N134" s="4">
        <v>20</v>
      </c>
      <c r="O134" s="4">
        <v>20</v>
      </c>
      <c r="P134" s="4">
        <v>25</v>
      </c>
      <c r="Q134" s="4">
        <v>20</v>
      </c>
      <c r="R134" s="4">
        <v>0</v>
      </c>
      <c r="S134" s="4">
        <v>0</v>
      </c>
      <c r="T134" s="4">
        <v>0</v>
      </c>
      <c r="U134" s="4" t="s">
        <v>43</v>
      </c>
      <c r="V134" s="4" t="s">
        <v>53</v>
      </c>
      <c r="W134" s="4" t="s">
        <v>35</v>
      </c>
      <c r="X134" s="4" t="s">
        <v>35</v>
      </c>
      <c r="Y134" s="4">
        <v>11</v>
      </c>
      <c r="Z134" s="4">
        <v>10</v>
      </c>
      <c r="AA134" s="4">
        <v>0</v>
      </c>
      <c r="AB134" s="4">
        <v>0</v>
      </c>
      <c r="AC134" s="4" t="s">
        <v>170</v>
      </c>
      <c r="AD134" s="4" t="s">
        <v>384</v>
      </c>
      <c r="AE134" s="4">
        <v>4.5</v>
      </c>
      <c r="AF134" s="4">
        <v>65</v>
      </c>
    </row>
    <row r="135" ht="75" spans="1:32">
      <c r="A135" s="4" t="s">
        <v>385</v>
      </c>
      <c r="B135" s="1" t="str">
        <f>_xlfn.DISPIMG("ID_79707411F4A34CC1A668B7E7722A4611",1)</f>
        <v>=DISPIMG("ID_79707411F4A34CC1A668B7E7722A4611",1)</v>
      </c>
      <c r="C135" s="1" t="s">
        <v>383</v>
      </c>
      <c r="D135" s="4">
        <v>95</v>
      </c>
      <c r="E135" s="4">
        <v>0</v>
      </c>
      <c r="F135" s="4">
        <v>0</v>
      </c>
      <c r="G135" s="4">
        <v>0</v>
      </c>
      <c r="H135" s="4">
        <v>0</v>
      </c>
      <c r="I135" s="4">
        <v>100</v>
      </c>
      <c r="J135" s="4" t="s">
        <v>35</v>
      </c>
      <c r="K135" s="4" t="s">
        <v>35</v>
      </c>
      <c r="L135" s="4">
        <v>40</v>
      </c>
      <c r="M135" s="4">
        <v>25</v>
      </c>
      <c r="N135" s="4">
        <v>20</v>
      </c>
      <c r="O135" s="4">
        <v>20</v>
      </c>
      <c r="P135" s="4">
        <v>25</v>
      </c>
      <c r="Q135" s="4">
        <v>20</v>
      </c>
      <c r="R135" s="4">
        <v>0</v>
      </c>
      <c r="S135" s="4">
        <v>0</v>
      </c>
      <c r="T135" s="4">
        <v>0</v>
      </c>
      <c r="U135" s="4" t="s">
        <v>43</v>
      </c>
      <c r="V135" s="4" t="s">
        <v>53</v>
      </c>
      <c r="W135" s="4" t="s">
        <v>35</v>
      </c>
      <c r="X135" s="4" t="s">
        <v>35</v>
      </c>
      <c r="Y135" s="4">
        <v>12</v>
      </c>
      <c r="Z135" s="4">
        <v>15</v>
      </c>
      <c r="AA135" s="4">
        <v>0</v>
      </c>
      <c r="AB135" s="4">
        <v>0</v>
      </c>
      <c r="AC135" s="4" t="s">
        <v>239</v>
      </c>
      <c r="AD135" s="4" t="s">
        <v>386</v>
      </c>
      <c r="AE135" s="4">
        <v>6</v>
      </c>
      <c r="AF135" s="4">
        <v>70</v>
      </c>
    </row>
    <row r="136" ht="75" spans="1:32">
      <c r="A136" s="4" t="s">
        <v>387</v>
      </c>
      <c r="B136" s="1" t="str">
        <f>_xlfn.DISPIMG("ID_7F5FAE2DA49E4C1191C5D9D9CA365711",1)</f>
        <v>=DISPIMG("ID_7F5FAE2DA49E4C1191C5D9D9CA365711",1)</v>
      </c>
      <c r="C136" s="1" t="s">
        <v>383</v>
      </c>
      <c r="D136" s="4">
        <v>108</v>
      </c>
      <c r="E136" s="4">
        <v>0</v>
      </c>
      <c r="F136" s="4">
        <v>0</v>
      </c>
      <c r="G136" s="4">
        <v>0</v>
      </c>
      <c r="H136" s="4">
        <v>0</v>
      </c>
      <c r="I136" s="4">
        <v>100</v>
      </c>
      <c r="J136" s="4" t="s">
        <v>35</v>
      </c>
      <c r="K136" s="4" t="s">
        <v>35</v>
      </c>
      <c r="L136" s="4">
        <v>40</v>
      </c>
      <c r="M136" s="4">
        <v>25</v>
      </c>
      <c r="N136" s="4">
        <v>20</v>
      </c>
      <c r="O136" s="4">
        <v>20</v>
      </c>
      <c r="P136" s="4">
        <v>25</v>
      </c>
      <c r="Q136" s="4">
        <v>20</v>
      </c>
      <c r="R136" s="4">
        <v>0</v>
      </c>
      <c r="S136" s="4">
        <v>0</v>
      </c>
      <c r="T136" s="4">
        <v>0</v>
      </c>
      <c r="U136" s="4" t="s">
        <v>43</v>
      </c>
      <c r="V136" s="4" t="s">
        <v>43</v>
      </c>
      <c r="W136" s="4" t="s">
        <v>35</v>
      </c>
      <c r="X136" s="4" t="s">
        <v>35</v>
      </c>
      <c r="Y136" s="4">
        <v>14</v>
      </c>
      <c r="Z136" s="4">
        <v>12</v>
      </c>
      <c r="AA136" s="4">
        <v>0</v>
      </c>
      <c r="AB136" s="4">
        <v>0</v>
      </c>
      <c r="AC136" s="4" t="s">
        <v>388</v>
      </c>
      <c r="AD136" s="4" t="s">
        <v>389</v>
      </c>
      <c r="AE136" s="4">
        <v>6.5</v>
      </c>
      <c r="AF136" s="4">
        <v>65</v>
      </c>
    </row>
    <row r="137" ht="75" spans="1:32">
      <c r="A137" s="4" t="s">
        <v>390</v>
      </c>
      <c r="B137" s="1" t="str">
        <f>_xlfn.DISPIMG("ID_5DF06A304EC44ED880F5BC1016107504",1)</f>
        <v>=DISPIMG("ID_5DF06A304EC44ED880F5BC1016107504",1)</v>
      </c>
      <c r="C137" s="1" t="s">
        <v>383</v>
      </c>
      <c r="D137" s="4">
        <v>105</v>
      </c>
      <c r="E137" s="4">
        <v>0</v>
      </c>
      <c r="F137" s="4">
        <v>0</v>
      </c>
      <c r="G137" s="4">
        <v>0</v>
      </c>
      <c r="H137" s="4">
        <v>0</v>
      </c>
      <c r="I137" s="4">
        <v>100</v>
      </c>
      <c r="J137" s="4" t="s">
        <v>35</v>
      </c>
      <c r="K137" s="4" t="s">
        <v>35</v>
      </c>
      <c r="L137" s="4">
        <v>40</v>
      </c>
      <c r="M137" s="4">
        <v>25</v>
      </c>
      <c r="N137" s="4">
        <v>20</v>
      </c>
      <c r="O137" s="4">
        <v>20</v>
      </c>
      <c r="P137" s="4">
        <v>25</v>
      </c>
      <c r="Q137" s="4">
        <v>20</v>
      </c>
      <c r="R137" s="4">
        <v>0</v>
      </c>
      <c r="S137" s="4">
        <v>0</v>
      </c>
      <c r="T137" s="4">
        <v>0</v>
      </c>
      <c r="U137" s="4" t="s">
        <v>43</v>
      </c>
      <c r="V137" s="4" t="s">
        <v>43</v>
      </c>
      <c r="W137" s="4" t="s">
        <v>35</v>
      </c>
      <c r="X137" s="4" t="s">
        <v>35</v>
      </c>
      <c r="Y137" s="4">
        <v>13</v>
      </c>
      <c r="Z137" s="4">
        <v>11</v>
      </c>
      <c r="AA137" s="4">
        <v>0</v>
      </c>
      <c r="AB137" s="4">
        <v>0</v>
      </c>
      <c r="AC137" s="4" t="s">
        <v>239</v>
      </c>
      <c r="AD137" s="4" t="s">
        <v>386</v>
      </c>
      <c r="AE137" s="4">
        <v>6.5</v>
      </c>
      <c r="AF137" s="4">
        <v>55</v>
      </c>
    </row>
    <row r="138" ht="75" spans="1:32">
      <c r="A138" s="4" t="s">
        <v>391</v>
      </c>
      <c r="B138" s="1" t="str">
        <f>_xlfn.DISPIMG("ID_6C1257776E0F417494ADBC34A0AFA373",1)</f>
        <v>=DISPIMG("ID_6C1257776E0F417494ADBC34A0AFA373",1)</v>
      </c>
      <c r="C138" s="1" t="s">
        <v>383</v>
      </c>
      <c r="D138" s="4">
        <v>103</v>
      </c>
      <c r="E138" s="4">
        <v>0</v>
      </c>
      <c r="F138" s="4">
        <v>90</v>
      </c>
      <c r="G138" s="4">
        <v>0</v>
      </c>
      <c r="H138" s="4">
        <v>0</v>
      </c>
      <c r="I138" s="4">
        <v>100</v>
      </c>
      <c r="J138" s="4" t="s">
        <v>35</v>
      </c>
      <c r="K138" s="4" t="s">
        <v>35</v>
      </c>
      <c r="L138" s="4">
        <v>50</v>
      </c>
      <c r="M138" s="4">
        <v>30</v>
      </c>
      <c r="N138" s="4">
        <v>25</v>
      </c>
      <c r="O138" s="4">
        <v>25</v>
      </c>
      <c r="P138" s="4">
        <v>30</v>
      </c>
      <c r="Q138" s="4">
        <v>25</v>
      </c>
      <c r="R138" s="4">
        <v>0</v>
      </c>
      <c r="S138" s="4">
        <v>0</v>
      </c>
      <c r="T138" s="4">
        <v>0</v>
      </c>
      <c r="U138" s="4" t="s">
        <v>34</v>
      </c>
      <c r="V138" s="4" t="s">
        <v>43</v>
      </c>
      <c r="W138" s="4" t="s">
        <v>34</v>
      </c>
      <c r="X138" s="4" t="s">
        <v>34</v>
      </c>
      <c r="Y138" s="4">
        <v>15</v>
      </c>
      <c r="Z138" s="4">
        <v>18</v>
      </c>
      <c r="AA138" s="4">
        <v>9</v>
      </c>
      <c r="AB138" s="4">
        <v>9</v>
      </c>
      <c r="AC138" s="4" t="s">
        <v>392</v>
      </c>
      <c r="AD138" s="4" t="s">
        <v>393</v>
      </c>
      <c r="AE138" s="4">
        <v>9.5</v>
      </c>
      <c r="AF138" s="4">
        <v>70</v>
      </c>
    </row>
    <row r="139" ht="75" spans="1:32">
      <c r="A139" s="4" t="s">
        <v>394</v>
      </c>
      <c r="B139" s="1" t="str">
        <f>_xlfn.DISPIMG("ID_03BBC112518F4C2F8B2B8A93A78FF9CE",1)</f>
        <v>=DISPIMG("ID_03BBC112518F4C2F8B2B8A93A78FF9CE",1)</v>
      </c>
      <c r="C139" s="1" t="s">
        <v>383</v>
      </c>
      <c r="D139" s="4">
        <v>104</v>
      </c>
      <c r="E139" s="4">
        <v>0</v>
      </c>
      <c r="F139" s="4">
        <v>0</v>
      </c>
      <c r="G139" s="4">
        <v>0</v>
      </c>
      <c r="H139" s="4">
        <v>0</v>
      </c>
      <c r="I139" s="4">
        <v>100</v>
      </c>
      <c r="J139" s="4" t="s">
        <v>35</v>
      </c>
      <c r="K139" s="4" t="s">
        <v>35</v>
      </c>
      <c r="L139" s="4">
        <v>40</v>
      </c>
      <c r="M139" s="4">
        <v>25</v>
      </c>
      <c r="N139" s="4">
        <v>20</v>
      </c>
      <c r="O139" s="4">
        <v>20</v>
      </c>
      <c r="P139" s="4">
        <v>25</v>
      </c>
      <c r="Q139" s="4">
        <v>20</v>
      </c>
      <c r="R139" s="4">
        <v>0</v>
      </c>
      <c r="S139" s="4">
        <v>36</v>
      </c>
      <c r="T139" s="4">
        <v>0</v>
      </c>
      <c r="U139" s="4" t="s">
        <v>43</v>
      </c>
      <c r="V139" s="4" t="s">
        <v>43</v>
      </c>
      <c r="W139" s="4" t="s">
        <v>35</v>
      </c>
      <c r="X139" s="4" t="s">
        <v>35</v>
      </c>
      <c r="Y139" s="4">
        <v>10</v>
      </c>
      <c r="Z139" s="4">
        <v>12</v>
      </c>
      <c r="AA139" s="4">
        <v>0</v>
      </c>
      <c r="AB139" s="4">
        <v>0</v>
      </c>
      <c r="AC139" s="4" t="s">
        <v>239</v>
      </c>
      <c r="AD139" s="4" t="s">
        <v>386</v>
      </c>
      <c r="AE139" s="4">
        <v>5.5</v>
      </c>
      <c r="AF139" s="4">
        <v>50</v>
      </c>
    </row>
    <row r="140" ht="75" spans="1:32">
      <c r="A140" s="4" t="s">
        <v>395</v>
      </c>
      <c r="B140" s="1" t="str">
        <f>_xlfn.DISPIMG("ID_9CA8731810AD40B8B8316A92165A41CF",1)</f>
        <v>=DISPIMG("ID_9CA8731810AD40B8B8316A92165A41CF",1)</v>
      </c>
      <c r="C140" s="1" t="s">
        <v>383</v>
      </c>
      <c r="D140" s="4">
        <v>118</v>
      </c>
      <c r="E140" s="4">
        <v>0</v>
      </c>
      <c r="F140" s="4">
        <v>0</v>
      </c>
      <c r="G140" s="4">
        <v>0</v>
      </c>
      <c r="H140" s="4">
        <v>0</v>
      </c>
      <c r="I140" s="4">
        <v>100</v>
      </c>
      <c r="J140" s="4" t="s">
        <v>35</v>
      </c>
      <c r="K140" s="4" t="s">
        <v>35</v>
      </c>
      <c r="L140" s="4">
        <v>40</v>
      </c>
      <c r="M140" s="4">
        <v>25</v>
      </c>
      <c r="N140" s="4">
        <v>20</v>
      </c>
      <c r="O140" s="4">
        <v>20</v>
      </c>
      <c r="P140" s="4">
        <v>25</v>
      </c>
      <c r="Q140" s="4">
        <v>20</v>
      </c>
      <c r="R140" s="4">
        <v>0</v>
      </c>
      <c r="S140" s="4">
        <v>0</v>
      </c>
      <c r="T140" s="4">
        <v>0</v>
      </c>
      <c r="U140" s="4" t="s">
        <v>34</v>
      </c>
      <c r="V140" s="4" t="s">
        <v>43</v>
      </c>
      <c r="W140" s="4" t="s">
        <v>35</v>
      </c>
      <c r="X140" s="4" t="s">
        <v>35</v>
      </c>
      <c r="Y140" s="4">
        <v>13</v>
      </c>
      <c r="Z140" s="4">
        <v>15</v>
      </c>
      <c r="AA140" s="4">
        <v>0</v>
      </c>
      <c r="AB140" s="4">
        <v>0</v>
      </c>
      <c r="AC140" s="4" t="s">
        <v>164</v>
      </c>
      <c r="AD140" s="4" t="s">
        <v>65</v>
      </c>
      <c r="AE140" s="4">
        <v>4.5</v>
      </c>
      <c r="AF140" s="4">
        <v>60</v>
      </c>
    </row>
    <row r="141" ht="75" spans="1:32">
      <c r="A141" s="4" t="s">
        <v>396</v>
      </c>
      <c r="B141" s="1" t="str">
        <f>_xlfn.DISPIMG("ID_ED448514E6CF4C2FBFA5DABC4660A726",1)</f>
        <v>=DISPIMG("ID_ED448514E6CF4C2FBFA5DABC4660A726",1)</v>
      </c>
      <c r="C141" s="1" t="s">
        <v>383</v>
      </c>
      <c r="D141" s="4">
        <v>39</v>
      </c>
      <c r="E141" s="4">
        <v>0</v>
      </c>
      <c r="F141" s="4">
        <v>96</v>
      </c>
      <c r="G141" s="4">
        <v>0</v>
      </c>
      <c r="H141" s="4">
        <v>0</v>
      </c>
      <c r="I141" s="4">
        <v>100</v>
      </c>
      <c r="J141" s="4" t="s">
        <v>35</v>
      </c>
      <c r="K141" s="4" t="s">
        <v>35</v>
      </c>
      <c r="L141" s="4">
        <v>40</v>
      </c>
      <c r="M141" s="4">
        <v>25</v>
      </c>
      <c r="N141" s="4">
        <v>20</v>
      </c>
      <c r="O141" s="4">
        <v>20</v>
      </c>
      <c r="P141" s="4">
        <v>25</v>
      </c>
      <c r="Q141" s="4">
        <v>20</v>
      </c>
      <c r="R141" s="4">
        <v>0</v>
      </c>
      <c r="S141" s="4">
        <v>0</v>
      </c>
      <c r="T141" s="4">
        <v>0</v>
      </c>
      <c r="U141" s="4" t="s">
        <v>43</v>
      </c>
      <c r="V141" s="4" t="s">
        <v>43</v>
      </c>
      <c r="W141" s="4" t="s">
        <v>35</v>
      </c>
      <c r="X141" s="4" t="s">
        <v>35</v>
      </c>
      <c r="Y141" s="4">
        <v>10</v>
      </c>
      <c r="Z141" s="4">
        <v>12</v>
      </c>
      <c r="AA141" s="4">
        <v>0</v>
      </c>
      <c r="AB141" s="4">
        <v>0</v>
      </c>
      <c r="AC141" s="4" t="s">
        <v>239</v>
      </c>
      <c r="AD141" s="4" t="s">
        <v>386</v>
      </c>
      <c r="AE141" s="4">
        <v>5</v>
      </c>
      <c r="AF141" s="4">
        <v>25</v>
      </c>
    </row>
    <row r="142" ht="75" spans="1:32">
      <c r="A142" s="4" t="s">
        <v>397</v>
      </c>
      <c r="B142" s="1" t="str">
        <f>_xlfn.DISPIMG("ID_047FF679D0184B6A871CCB160529C0B6",1)</f>
        <v>=DISPIMG("ID_047FF679D0184B6A871CCB160529C0B6",1)</v>
      </c>
      <c r="C142" s="1" t="s">
        <v>383</v>
      </c>
      <c r="D142" s="4">
        <v>128</v>
      </c>
      <c r="E142" s="4">
        <v>0</v>
      </c>
      <c r="F142" s="4">
        <v>0</v>
      </c>
      <c r="G142" s="4">
        <v>34</v>
      </c>
      <c r="H142" s="4">
        <v>0</v>
      </c>
      <c r="I142" s="4">
        <v>100</v>
      </c>
      <c r="J142" s="4" t="s">
        <v>35</v>
      </c>
      <c r="K142" s="4" t="s">
        <v>35</v>
      </c>
      <c r="L142" s="4">
        <v>55</v>
      </c>
      <c r="M142" s="4">
        <v>35</v>
      </c>
      <c r="N142" s="4">
        <v>30</v>
      </c>
      <c r="O142" s="4">
        <v>30</v>
      </c>
      <c r="P142" s="4">
        <v>35</v>
      </c>
      <c r="Q142" s="4">
        <v>25</v>
      </c>
      <c r="R142" s="4">
        <v>0</v>
      </c>
      <c r="S142" s="4">
        <v>0</v>
      </c>
      <c r="T142" s="4">
        <v>0</v>
      </c>
      <c r="U142" s="4" t="s">
        <v>43</v>
      </c>
      <c r="V142" s="4" t="s">
        <v>43</v>
      </c>
      <c r="W142" s="4" t="s">
        <v>35</v>
      </c>
      <c r="X142" s="4" t="s">
        <v>43</v>
      </c>
      <c r="Y142" s="4">
        <v>16</v>
      </c>
      <c r="Z142" s="4">
        <v>22</v>
      </c>
      <c r="AA142" s="4">
        <v>0</v>
      </c>
      <c r="AB142" s="4">
        <v>18</v>
      </c>
      <c r="AC142" s="4" t="s">
        <v>341</v>
      </c>
      <c r="AD142" s="4" t="s">
        <v>41</v>
      </c>
      <c r="AE142" s="4">
        <v>14.5</v>
      </c>
      <c r="AF142" s="4">
        <v>100</v>
      </c>
    </row>
    <row r="143" ht="75" spans="1:32">
      <c r="A143" s="4" t="s">
        <v>398</v>
      </c>
      <c r="B143" s="1" t="str">
        <f>_xlfn.DISPIMG("ID_E84B8DDB53F04C5E9AEC6705DA861AE0",1)</f>
        <v>=DISPIMG("ID_E84B8DDB53F04C5E9AEC6705DA861AE0",1)</v>
      </c>
      <c r="C143" s="1" t="s">
        <v>383</v>
      </c>
      <c r="D143" s="4">
        <v>118</v>
      </c>
      <c r="E143" s="4">
        <v>0</v>
      </c>
      <c r="F143" s="4">
        <v>0</v>
      </c>
      <c r="G143" s="4">
        <v>0</v>
      </c>
      <c r="H143" s="4">
        <v>0</v>
      </c>
      <c r="I143" s="4">
        <v>100</v>
      </c>
      <c r="J143" s="4" t="s">
        <v>35</v>
      </c>
      <c r="K143" s="4" t="s">
        <v>35</v>
      </c>
      <c r="L143" s="4">
        <v>40</v>
      </c>
      <c r="M143" s="4">
        <v>25</v>
      </c>
      <c r="N143" s="4">
        <v>20</v>
      </c>
      <c r="O143" s="4">
        <v>20</v>
      </c>
      <c r="P143" s="4">
        <v>25</v>
      </c>
      <c r="Q143" s="4">
        <v>20</v>
      </c>
      <c r="R143" s="4">
        <v>0</v>
      </c>
      <c r="S143" s="4">
        <v>36</v>
      </c>
      <c r="T143" s="4">
        <v>0</v>
      </c>
      <c r="U143" s="4" t="s">
        <v>43</v>
      </c>
      <c r="V143" s="4" t="s">
        <v>53</v>
      </c>
      <c r="W143" s="4" t="s">
        <v>35</v>
      </c>
      <c r="X143" s="4" t="s">
        <v>35</v>
      </c>
      <c r="Y143" s="4">
        <v>11</v>
      </c>
      <c r="Z143" s="4">
        <v>19</v>
      </c>
      <c r="AA143" s="4">
        <v>0</v>
      </c>
      <c r="AB143" s="4">
        <v>0</v>
      </c>
      <c r="AC143" s="4" t="s">
        <v>170</v>
      </c>
      <c r="AD143" s="4" t="s">
        <v>384</v>
      </c>
      <c r="AE143" s="4">
        <v>6.5</v>
      </c>
      <c r="AF143" s="4">
        <v>90</v>
      </c>
    </row>
    <row r="144" ht="75" spans="1:32">
      <c r="A144" s="4" t="s">
        <v>399</v>
      </c>
      <c r="B144" s="1" t="str">
        <f>_xlfn.DISPIMG("ID_6E438CBF6FE14E83B0838BB28EFBF745",1)</f>
        <v>=DISPIMG("ID_6E438CBF6FE14E83B0838BB28EFBF745",1)</v>
      </c>
      <c r="C144" s="1" t="s">
        <v>383</v>
      </c>
      <c r="D144" s="4">
        <v>98</v>
      </c>
      <c r="E144" s="4">
        <v>0</v>
      </c>
      <c r="F144" s="4">
        <v>0</v>
      </c>
      <c r="G144" s="4">
        <v>0</v>
      </c>
      <c r="H144" s="4">
        <v>0</v>
      </c>
      <c r="I144" s="4">
        <v>100</v>
      </c>
      <c r="J144" s="4" t="s">
        <v>35</v>
      </c>
      <c r="K144" s="4" t="s">
        <v>35</v>
      </c>
      <c r="L144" s="4">
        <v>45</v>
      </c>
      <c r="M144" s="4">
        <v>30</v>
      </c>
      <c r="N144" s="4">
        <v>25</v>
      </c>
      <c r="O144" s="4">
        <v>25</v>
      </c>
      <c r="P144" s="4">
        <v>30</v>
      </c>
      <c r="Q144" s="4">
        <v>25</v>
      </c>
      <c r="R144" s="4">
        <v>0</v>
      </c>
      <c r="S144" s="4">
        <v>0</v>
      </c>
      <c r="T144" s="4">
        <v>0</v>
      </c>
      <c r="U144" s="4" t="s">
        <v>34</v>
      </c>
      <c r="V144" s="4" t="s">
        <v>34</v>
      </c>
      <c r="W144" s="4" t="s">
        <v>35</v>
      </c>
      <c r="X144" s="4" t="s">
        <v>43</v>
      </c>
      <c r="Y144" s="4">
        <v>12</v>
      </c>
      <c r="Z144" s="4">
        <v>12</v>
      </c>
      <c r="AA144" s="4">
        <v>0</v>
      </c>
      <c r="AB144" s="4">
        <v>16</v>
      </c>
      <c r="AC144" s="4" t="s">
        <v>239</v>
      </c>
      <c r="AD144" s="4" t="s">
        <v>386</v>
      </c>
      <c r="AE144" s="4">
        <v>8.5</v>
      </c>
      <c r="AF144" s="4">
        <v>70</v>
      </c>
    </row>
    <row r="145" ht="75" spans="1:32">
      <c r="A145" s="4" t="s">
        <v>400</v>
      </c>
      <c r="B145" s="1" t="str">
        <f>_xlfn.DISPIMG("ID_F767CA843DC54F998B8D17CFC747E28E",1)</f>
        <v>=DISPIMG("ID_F767CA843DC54F998B8D17CFC747E28E",1)</v>
      </c>
      <c r="C145" s="1" t="s">
        <v>383</v>
      </c>
      <c r="D145" s="4">
        <v>102</v>
      </c>
      <c r="E145" s="4">
        <v>0</v>
      </c>
      <c r="F145" s="4">
        <v>0</v>
      </c>
      <c r="G145" s="4">
        <v>0</v>
      </c>
      <c r="H145" s="4">
        <v>0</v>
      </c>
      <c r="I145" s="4">
        <v>100</v>
      </c>
      <c r="J145" s="4" t="s">
        <v>35</v>
      </c>
      <c r="K145" s="4" t="s">
        <v>35</v>
      </c>
      <c r="L145" s="4">
        <v>40</v>
      </c>
      <c r="M145" s="4">
        <v>65</v>
      </c>
      <c r="N145" s="4">
        <v>60</v>
      </c>
      <c r="O145" s="4">
        <v>60</v>
      </c>
      <c r="P145" s="4">
        <v>65</v>
      </c>
      <c r="Q145" s="4">
        <v>25</v>
      </c>
      <c r="R145" s="4">
        <v>0</v>
      </c>
      <c r="S145" s="4">
        <v>0</v>
      </c>
      <c r="T145" s="4">
        <v>0</v>
      </c>
      <c r="U145" s="4" t="s">
        <v>43</v>
      </c>
      <c r="V145" s="4" t="s">
        <v>43</v>
      </c>
      <c r="W145" s="4" t="s">
        <v>35</v>
      </c>
      <c r="X145" s="4" t="s">
        <v>43</v>
      </c>
      <c r="Y145" s="4">
        <v>18</v>
      </c>
      <c r="Z145" s="4">
        <v>14</v>
      </c>
      <c r="AA145" s="4" t="s">
        <v>35</v>
      </c>
      <c r="AB145" s="4">
        <v>13</v>
      </c>
      <c r="AC145" s="4" t="s">
        <v>401</v>
      </c>
      <c r="AD145" s="4" t="s">
        <v>65</v>
      </c>
      <c r="AE145" s="4">
        <v>6.5</v>
      </c>
      <c r="AF145" s="4">
        <v>65</v>
      </c>
    </row>
    <row r="146" ht="75" spans="1:32">
      <c r="A146" s="4" t="s">
        <v>402</v>
      </c>
      <c r="B146" s="1" t="str">
        <f>_xlfn.DISPIMG("ID_280D5FD4CBF74C788B47CD9A82EF84F9",1)</f>
        <v>=DISPIMG("ID_280D5FD4CBF74C788B47CD9A82EF84F9",1)</v>
      </c>
      <c r="C146" s="1" t="s">
        <v>383</v>
      </c>
      <c r="D146" s="6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  <c r="P146" s="6"/>
      <c r="Q146" s="6"/>
      <c r="R146" s="6"/>
      <c r="S146" s="6"/>
      <c r="T146" s="6"/>
      <c r="U146" s="6"/>
      <c r="V146" s="6"/>
      <c r="W146" s="6"/>
      <c r="X146" s="6"/>
      <c r="Y146" s="6"/>
      <c r="Z146" s="6"/>
      <c r="AA146" s="6"/>
      <c r="AB146" s="6"/>
      <c r="AC146" s="6"/>
      <c r="AD146" s="6"/>
      <c r="AE146" s="6"/>
      <c r="AF146" s="6"/>
    </row>
    <row r="147" ht="75" spans="1:32">
      <c r="A147" s="4" t="s">
        <v>403</v>
      </c>
      <c r="B147" s="1" t="str">
        <f>_xlfn.DISPIMG("ID_1E573C6D050F4521B6C5262D1F388703",1)</f>
        <v>=DISPIMG("ID_1E573C6D050F4521B6C5262D1F388703",1)</v>
      </c>
      <c r="C147" s="1" t="s">
        <v>383</v>
      </c>
      <c r="D147" s="4">
        <v>97</v>
      </c>
      <c r="E147" s="4">
        <v>0</v>
      </c>
      <c r="F147" s="4">
        <v>0</v>
      </c>
      <c r="G147" s="4">
        <v>70</v>
      </c>
      <c r="H147" s="4">
        <v>0</v>
      </c>
      <c r="I147" s="4">
        <v>100</v>
      </c>
      <c r="J147" s="4" t="s">
        <v>35</v>
      </c>
      <c r="K147" s="4" t="s">
        <v>35</v>
      </c>
      <c r="L147" s="4">
        <v>50</v>
      </c>
      <c r="M147" s="4">
        <v>30</v>
      </c>
      <c r="N147" s="4">
        <v>25</v>
      </c>
      <c r="O147" s="4">
        <v>25</v>
      </c>
      <c r="P147" s="4">
        <v>30</v>
      </c>
      <c r="Q147" s="4">
        <v>25</v>
      </c>
      <c r="R147" s="4">
        <v>0</v>
      </c>
      <c r="S147" s="4">
        <v>0</v>
      </c>
      <c r="T147" s="4">
        <v>0</v>
      </c>
      <c r="U147" s="4" t="s">
        <v>43</v>
      </c>
      <c r="V147" s="4" t="s">
        <v>53</v>
      </c>
      <c r="W147" s="4" t="s">
        <v>35</v>
      </c>
      <c r="X147" s="4" t="s">
        <v>43</v>
      </c>
      <c r="Y147" s="4">
        <v>20</v>
      </c>
      <c r="Z147" s="4">
        <v>20</v>
      </c>
      <c r="AA147" s="4">
        <v>0</v>
      </c>
      <c r="AB147" s="4">
        <v>0</v>
      </c>
      <c r="AC147" s="4" t="s">
        <v>404</v>
      </c>
      <c r="AD147" s="4" t="s">
        <v>405</v>
      </c>
      <c r="AE147" s="4">
        <v>9.5</v>
      </c>
      <c r="AF147" s="4">
        <v>80</v>
      </c>
    </row>
    <row r="148" ht="75" spans="1:32">
      <c r="A148" s="4" t="s">
        <v>406</v>
      </c>
      <c r="B148" s="1" t="str">
        <f>_xlfn.DISPIMG("ID_412CD956101242CE9649DD8D771FE6AA",1)</f>
        <v>=DISPIMG("ID_412CD956101242CE9649DD8D771FE6AA",1)</v>
      </c>
      <c r="C148" s="1" t="s">
        <v>383</v>
      </c>
      <c r="D148" s="4">
        <v>73</v>
      </c>
      <c r="E148" s="4">
        <v>77</v>
      </c>
      <c r="F148" s="4">
        <v>0</v>
      </c>
      <c r="G148" s="4">
        <v>0</v>
      </c>
      <c r="H148" s="4">
        <v>0</v>
      </c>
      <c r="I148" s="4">
        <v>100</v>
      </c>
      <c r="J148" s="4">
        <v>100</v>
      </c>
      <c r="K148" s="6"/>
      <c r="L148" s="4">
        <v>40</v>
      </c>
      <c r="M148" s="4">
        <v>30</v>
      </c>
      <c r="N148" s="4">
        <v>20</v>
      </c>
      <c r="O148" s="4">
        <v>20</v>
      </c>
      <c r="P148" s="4">
        <v>25</v>
      </c>
      <c r="Q148" s="4">
        <v>20</v>
      </c>
      <c r="R148" s="4">
        <v>0</v>
      </c>
      <c r="S148" s="4">
        <v>0</v>
      </c>
      <c r="T148" s="4">
        <v>0</v>
      </c>
      <c r="U148" s="4" t="s">
        <v>34</v>
      </c>
      <c r="V148" s="4" t="s">
        <v>43</v>
      </c>
      <c r="W148" s="4" t="s">
        <v>35</v>
      </c>
      <c r="X148" s="4" t="s">
        <v>36</v>
      </c>
      <c r="Y148" s="4">
        <v>10</v>
      </c>
      <c r="Z148" s="4">
        <v>10</v>
      </c>
      <c r="AA148" s="4">
        <v>18</v>
      </c>
      <c r="AB148" s="4">
        <v>14</v>
      </c>
      <c r="AC148" s="4" t="s">
        <v>37</v>
      </c>
      <c r="AD148" s="4" t="s">
        <v>70</v>
      </c>
      <c r="AE148" s="4">
        <v>3</v>
      </c>
      <c r="AF148" s="4">
        <v>50</v>
      </c>
    </row>
    <row r="149" ht="75" spans="1:32">
      <c r="A149" s="4" t="s">
        <v>407</v>
      </c>
      <c r="B149" s="1" t="str">
        <f>_xlfn.DISPIMG("ID_6FF4DE3913E04F838912AC90B194A24E",1)</f>
        <v>=DISPIMG("ID_6FF4DE3913E04F838912AC90B194A24E",1)</v>
      </c>
      <c r="C149" s="1" t="s">
        <v>383</v>
      </c>
      <c r="D149" s="4">
        <v>100</v>
      </c>
      <c r="E149" s="4">
        <v>0</v>
      </c>
      <c r="F149" s="4">
        <v>0</v>
      </c>
      <c r="G149" s="4">
        <v>0</v>
      </c>
      <c r="H149" s="4">
        <v>0</v>
      </c>
      <c r="I149" s="4">
        <v>100</v>
      </c>
      <c r="J149" s="4" t="s">
        <v>35</v>
      </c>
      <c r="K149" s="4" t="s">
        <v>35</v>
      </c>
      <c r="L149" s="4">
        <v>40</v>
      </c>
      <c r="M149" s="4">
        <v>25</v>
      </c>
      <c r="N149" s="4">
        <v>20</v>
      </c>
      <c r="O149" s="4">
        <v>20</v>
      </c>
      <c r="P149" s="4">
        <v>25</v>
      </c>
      <c r="Q149" s="4">
        <v>20</v>
      </c>
      <c r="R149" s="4">
        <v>0</v>
      </c>
      <c r="S149" s="4">
        <v>0</v>
      </c>
      <c r="T149" s="4">
        <v>0</v>
      </c>
      <c r="U149" s="4" t="s">
        <v>43</v>
      </c>
      <c r="V149" s="4" t="s">
        <v>43</v>
      </c>
      <c r="W149" s="4" t="s">
        <v>35</v>
      </c>
      <c r="X149" s="4" t="s">
        <v>35</v>
      </c>
      <c r="Y149" s="4">
        <v>14</v>
      </c>
      <c r="Z149" s="4">
        <v>20</v>
      </c>
      <c r="AA149" s="4">
        <v>0</v>
      </c>
      <c r="AB149" s="4">
        <v>0</v>
      </c>
      <c r="AC149" s="4" t="s">
        <v>239</v>
      </c>
      <c r="AD149" s="4" t="s">
        <v>386</v>
      </c>
      <c r="AE149" s="4">
        <v>8</v>
      </c>
      <c r="AF149" s="4">
        <v>70</v>
      </c>
    </row>
    <row r="150" ht="75" spans="1:32">
      <c r="A150" s="4" t="s">
        <v>408</v>
      </c>
      <c r="B150" s="1" t="str">
        <f>_xlfn.DISPIMG("ID_F53714ED6D63494690C04ECE694F6572",1)</f>
        <v>=DISPIMG("ID_F53714ED6D63494690C04ECE694F6572",1)</v>
      </c>
      <c r="C150" s="1" t="s">
        <v>383</v>
      </c>
      <c r="D150" s="4">
        <v>106</v>
      </c>
      <c r="E150" s="4">
        <v>0</v>
      </c>
      <c r="F150" s="4">
        <v>0</v>
      </c>
      <c r="G150" s="4">
        <v>0</v>
      </c>
      <c r="H150" s="4">
        <v>0</v>
      </c>
      <c r="I150" s="4">
        <v>100</v>
      </c>
      <c r="J150" s="4" t="s">
        <v>35</v>
      </c>
      <c r="K150" s="4" t="s">
        <v>35</v>
      </c>
      <c r="L150" s="4">
        <v>40</v>
      </c>
      <c r="M150" s="4">
        <v>25</v>
      </c>
      <c r="N150" s="4">
        <v>20</v>
      </c>
      <c r="O150" s="4">
        <v>20</v>
      </c>
      <c r="P150" s="4">
        <v>25</v>
      </c>
      <c r="Q150" s="4">
        <v>20</v>
      </c>
      <c r="R150" s="4">
        <v>0</v>
      </c>
      <c r="S150" s="4">
        <v>0</v>
      </c>
      <c r="T150" s="4">
        <v>0</v>
      </c>
      <c r="U150" s="4" t="s">
        <v>53</v>
      </c>
      <c r="V150" s="4" t="s">
        <v>34</v>
      </c>
      <c r="W150" s="4" t="s">
        <v>35</v>
      </c>
      <c r="X150" s="4" t="s">
        <v>35</v>
      </c>
      <c r="Y150" s="4">
        <v>12</v>
      </c>
      <c r="Z150" s="4">
        <v>12</v>
      </c>
      <c r="AA150" s="4">
        <v>0</v>
      </c>
      <c r="AB150" s="4">
        <v>0</v>
      </c>
      <c r="AC150" s="4" t="s">
        <v>409</v>
      </c>
      <c r="AD150" s="4" t="s">
        <v>51</v>
      </c>
      <c r="AE150" s="4">
        <v>4</v>
      </c>
      <c r="AF150" s="4">
        <v>70</v>
      </c>
    </row>
    <row r="151" ht="75" spans="1:32">
      <c r="A151" s="4" t="s">
        <v>410</v>
      </c>
      <c r="B151" s="1" t="str">
        <f>_xlfn.DISPIMG("ID_F3029C2A1DBA4EFDBD8474A00897A270",1)</f>
        <v>=DISPIMG("ID_F3029C2A1DBA4EFDBD8474A00897A270",1)</v>
      </c>
      <c r="C151" s="1" t="s">
        <v>411</v>
      </c>
      <c r="D151" s="4">
        <v>129</v>
      </c>
      <c r="E151" s="4">
        <v>0</v>
      </c>
      <c r="F151" s="4">
        <v>0</v>
      </c>
      <c r="G151" s="4">
        <v>0</v>
      </c>
      <c r="H151" s="4">
        <v>0</v>
      </c>
      <c r="I151" s="4">
        <v>100</v>
      </c>
      <c r="J151" s="4" t="s">
        <v>35</v>
      </c>
      <c r="K151" s="4" t="s">
        <v>35</v>
      </c>
      <c r="L151" s="4">
        <v>50</v>
      </c>
      <c r="M151" s="4">
        <v>30</v>
      </c>
      <c r="N151" s="4">
        <v>25</v>
      </c>
      <c r="O151" s="4">
        <v>25</v>
      </c>
      <c r="P151" s="4">
        <v>30</v>
      </c>
      <c r="Q151" s="4">
        <v>25</v>
      </c>
      <c r="R151" s="4">
        <v>0</v>
      </c>
      <c r="S151" s="4">
        <v>0</v>
      </c>
      <c r="T151" s="4">
        <v>0</v>
      </c>
      <c r="U151" s="4" t="s">
        <v>43</v>
      </c>
      <c r="V151" s="4" t="s">
        <v>43</v>
      </c>
      <c r="W151" s="4" t="s">
        <v>35</v>
      </c>
      <c r="X151" s="4" t="s">
        <v>35</v>
      </c>
      <c r="Y151" s="4">
        <v>21</v>
      </c>
      <c r="Z151" s="4">
        <v>16</v>
      </c>
      <c r="AA151" s="4">
        <v>0</v>
      </c>
      <c r="AB151" s="4">
        <v>0</v>
      </c>
      <c r="AC151" s="4" t="s">
        <v>239</v>
      </c>
      <c r="AD151" s="4" t="s">
        <v>412</v>
      </c>
      <c r="AE151" s="4">
        <v>10.5</v>
      </c>
      <c r="AF151" s="4">
        <v>90</v>
      </c>
    </row>
    <row r="152" ht="75" spans="1:32">
      <c r="A152" s="4" t="s">
        <v>413</v>
      </c>
      <c r="B152" s="1" t="str">
        <f>_xlfn.DISPIMG("ID_85EAB1D7991D43F19CD75F445E60BD96",1)</f>
        <v>=DISPIMG("ID_85EAB1D7991D43F19CD75F445E60BD96",1)</v>
      </c>
      <c r="C152" s="1" t="s">
        <v>411</v>
      </c>
      <c r="D152" s="4">
        <v>112</v>
      </c>
      <c r="E152" s="4">
        <v>0</v>
      </c>
      <c r="F152" s="4">
        <v>0</v>
      </c>
      <c r="G152" s="4">
        <v>0</v>
      </c>
      <c r="H152" s="4">
        <v>0</v>
      </c>
      <c r="I152" s="4">
        <v>100</v>
      </c>
      <c r="J152" s="4" t="s">
        <v>35</v>
      </c>
      <c r="K152" s="4" t="s">
        <v>35</v>
      </c>
      <c r="L152" s="4">
        <v>45</v>
      </c>
      <c r="M152" s="4">
        <v>30</v>
      </c>
      <c r="N152" s="4">
        <v>25</v>
      </c>
      <c r="O152" s="4">
        <v>25</v>
      </c>
      <c r="P152" s="4">
        <v>30</v>
      </c>
      <c r="Q152" s="4">
        <v>25</v>
      </c>
      <c r="R152" s="4">
        <v>0</v>
      </c>
      <c r="S152" s="4">
        <v>0</v>
      </c>
      <c r="T152" s="4">
        <v>0</v>
      </c>
      <c r="U152" s="4" t="s">
        <v>43</v>
      </c>
      <c r="V152" s="4" t="s">
        <v>43</v>
      </c>
      <c r="W152" s="4" t="s">
        <v>35</v>
      </c>
      <c r="X152" s="4" t="s">
        <v>35</v>
      </c>
      <c r="Y152" s="4">
        <v>14</v>
      </c>
      <c r="Z152" s="4">
        <v>20</v>
      </c>
      <c r="AA152" s="4">
        <v>0</v>
      </c>
      <c r="AB152" s="4">
        <v>0</v>
      </c>
      <c r="AC152" s="4" t="s">
        <v>239</v>
      </c>
      <c r="AD152" s="4" t="s">
        <v>386</v>
      </c>
      <c r="AE152" s="4">
        <v>8</v>
      </c>
      <c r="AF152" s="4">
        <v>80</v>
      </c>
    </row>
    <row r="153" ht="75" spans="1:32">
      <c r="A153" s="4" t="s">
        <v>414</v>
      </c>
      <c r="B153" s="1" t="str">
        <f>_xlfn.DISPIMG("ID_F74AC8E36CF249BA8A7B6CBA83CA43EE",1)</f>
        <v>=DISPIMG("ID_F74AC8E36CF249BA8A7B6CBA83CA43EE",1)</v>
      </c>
      <c r="C153" s="1" t="s">
        <v>411</v>
      </c>
      <c r="D153" s="4">
        <v>105</v>
      </c>
      <c r="E153" s="4">
        <v>0</v>
      </c>
      <c r="F153" s="4">
        <v>0</v>
      </c>
      <c r="G153" s="4">
        <v>0</v>
      </c>
      <c r="H153" s="4">
        <v>0</v>
      </c>
      <c r="I153" s="4">
        <v>100</v>
      </c>
      <c r="J153" s="4" t="s">
        <v>35</v>
      </c>
      <c r="K153" s="4" t="s">
        <v>35</v>
      </c>
      <c r="L153" s="4">
        <v>45</v>
      </c>
      <c r="M153" s="4">
        <v>30</v>
      </c>
      <c r="N153" s="4">
        <v>25</v>
      </c>
      <c r="O153" s="4">
        <v>25</v>
      </c>
      <c r="P153" s="4">
        <v>30</v>
      </c>
      <c r="Q153" s="4">
        <v>25</v>
      </c>
      <c r="R153" s="4">
        <v>0</v>
      </c>
      <c r="S153" s="4">
        <v>0</v>
      </c>
      <c r="T153" s="4">
        <v>0</v>
      </c>
      <c r="U153" s="4" t="s">
        <v>43</v>
      </c>
      <c r="V153" s="4" t="s">
        <v>53</v>
      </c>
      <c r="W153" s="4" t="s">
        <v>35</v>
      </c>
      <c r="X153" s="4" t="s">
        <v>35</v>
      </c>
      <c r="Y153" s="4">
        <v>18</v>
      </c>
      <c r="Z153" s="4">
        <v>14</v>
      </c>
      <c r="AA153" s="4">
        <v>0</v>
      </c>
      <c r="AB153" s="4">
        <v>0</v>
      </c>
      <c r="AC153" s="4" t="s">
        <v>239</v>
      </c>
      <c r="AD153" s="4" t="s">
        <v>386</v>
      </c>
      <c r="AE153" s="4">
        <v>7.5</v>
      </c>
      <c r="AF153" s="4">
        <v>80</v>
      </c>
    </row>
    <row r="154" ht="75" spans="1:32">
      <c r="A154" s="4" t="s">
        <v>415</v>
      </c>
      <c r="B154" s="1" t="str">
        <f>_xlfn.DISPIMG("ID_AFB75E8EC7D848528427CA6EB4927390",1)</f>
        <v>=DISPIMG("ID_AFB75E8EC7D848528427CA6EB4927390",1)</v>
      </c>
      <c r="C154" s="1" t="s">
        <v>411</v>
      </c>
      <c r="D154" s="4">
        <v>126</v>
      </c>
      <c r="E154" s="4">
        <v>0</v>
      </c>
      <c r="F154" s="4">
        <v>12</v>
      </c>
      <c r="G154" s="4">
        <v>0</v>
      </c>
      <c r="H154" s="4">
        <v>0</v>
      </c>
      <c r="I154" s="4">
        <v>100</v>
      </c>
      <c r="J154" s="4" t="s">
        <v>35</v>
      </c>
      <c r="K154" s="4" t="s">
        <v>35</v>
      </c>
      <c r="L154" s="4">
        <v>45</v>
      </c>
      <c r="M154" s="4">
        <v>30</v>
      </c>
      <c r="N154" s="4">
        <v>20</v>
      </c>
      <c r="O154" s="4">
        <v>20</v>
      </c>
      <c r="P154" s="4">
        <v>30</v>
      </c>
      <c r="Q154" s="4">
        <v>25</v>
      </c>
      <c r="R154" s="4">
        <v>0</v>
      </c>
      <c r="S154" s="4">
        <v>0</v>
      </c>
      <c r="T154" s="4">
        <v>0</v>
      </c>
      <c r="U154" s="4" t="s">
        <v>43</v>
      </c>
      <c r="V154" s="4" t="s">
        <v>43</v>
      </c>
      <c r="W154" s="4" t="s">
        <v>34</v>
      </c>
      <c r="X154" s="4" t="s">
        <v>34</v>
      </c>
      <c r="Y154" s="4">
        <v>15</v>
      </c>
      <c r="Z154" s="4">
        <v>17</v>
      </c>
      <c r="AA154" s="4">
        <v>0</v>
      </c>
      <c r="AB154" s="4">
        <v>0</v>
      </c>
      <c r="AC154" s="4" t="s">
        <v>203</v>
      </c>
      <c r="AD154" s="4" t="s">
        <v>303</v>
      </c>
      <c r="AE154" s="4">
        <v>9</v>
      </c>
      <c r="AF154" s="4">
        <v>90</v>
      </c>
    </row>
    <row r="155" ht="75" spans="1:32">
      <c r="A155" s="4" t="s">
        <v>416</v>
      </c>
      <c r="B155" s="1" t="str">
        <f>_xlfn.DISPIMG("ID_6307808768CA42099FA19C64F6B65821",1)</f>
        <v>=DISPIMG("ID_6307808768CA42099FA19C64F6B65821",1)</v>
      </c>
      <c r="C155" s="1" t="s">
        <v>411</v>
      </c>
      <c r="D155" s="4">
        <v>100</v>
      </c>
      <c r="E155" s="4">
        <v>0</v>
      </c>
      <c r="F155" s="4">
        <v>0</v>
      </c>
      <c r="G155" s="4">
        <v>0</v>
      </c>
      <c r="H155" s="4">
        <v>0</v>
      </c>
      <c r="I155" s="4">
        <v>100</v>
      </c>
      <c r="J155" s="4" t="s">
        <v>35</v>
      </c>
      <c r="K155" s="4" t="s">
        <v>35</v>
      </c>
      <c r="L155" s="4">
        <v>40</v>
      </c>
      <c r="M155" s="4">
        <v>25</v>
      </c>
      <c r="N155" s="4">
        <v>20</v>
      </c>
      <c r="O155" s="4">
        <v>20</v>
      </c>
      <c r="P155" s="4">
        <v>25</v>
      </c>
      <c r="Q155" s="4">
        <v>20</v>
      </c>
      <c r="R155" s="4">
        <v>0</v>
      </c>
      <c r="S155" s="4">
        <v>0</v>
      </c>
      <c r="T155" s="4">
        <v>0</v>
      </c>
      <c r="U155" s="4" t="s">
        <v>43</v>
      </c>
      <c r="V155" s="4" t="s">
        <v>43</v>
      </c>
      <c r="W155" s="4" t="s">
        <v>35</v>
      </c>
      <c r="X155" s="4" t="s">
        <v>35</v>
      </c>
      <c r="Y155" s="4">
        <v>14</v>
      </c>
      <c r="Z155" s="4">
        <v>14</v>
      </c>
      <c r="AA155" s="4">
        <v>0</v>
      </c>
      <c r="AB155" s="4">
        <v>0</v>
      </c>
      <c r="AC155" s="4" t="s">
        <v>416</v>
      </c>
      <c r="AD155" s="4" t="s">
        <v>342</v>
      </c>
      <c r="AE155" s="4">
        <v>5</v>
      </c>
      <c r="AF155" s="4">
        <v>70</v>
      </c>
    </row>
    <row r="156" ht="75" spans="1:32">
      <c r="A156" s="4" t="s">
        <v>417</v>
      </c>
      <c r="B156" s="1" t="str">
        <f>_xlfn.DISPIMG("ID_070DCCF4FDDC438F9E6CCDF9CA0A2521",1)</f>
        <v>=DISPIMG("ID_070DCCF4FDDC438F9E6CCDF9CA0A2521",1)</v>
      </c>
      <c r="C156" s="1" t="s">
        <v>418</v>
      </c>
      <c r="D156" s="4">
        <v>119</v>
      </c>
      <c r="E156" s="4">
        <v>0</v>
      </c>
      <c r="F156" s="4">
        <v>0</v>
      </c>
      <c r="G156" s="4">
        <v>0</v>
      </c>
      <c r="H156" s="4">
        <v>0</v>
      </c>
      <c r="I156" s="4">
        <v>100</v>
      </c>
      <c r="J156" s="4" t="s">
        <v>35</v>
      </c>
      <c r="K156" s="4" t="s">
        <v>35</v>
      </c>
      <c r="L156" s="4">
        <v>40</v>
      </c>
      <c r="M156" s="4">
        <v>25</v>
      </c>
      <c r="N156" s="4">
        <v>20</v>
      </c>
      <c r="O156" s="4">
        <v>20</v>
      </c>
      <c r="P156" s="4">
        <v>25</v>
      </c>
      <c r="Q156" s="4">
        <v>20</v>
      </c>
      <c r="R156" s="4">
        <v>0</v>
      </c>
      <c r="S156" s="4">
        <v>0</v>
      </c>
      <c r="T156" s="4">
        <v>0</v>
      </c>
      <c r="U156" s="4" t="s">
        <v>43</v>
      </c>
      <c r="V156" s="4" t="s">
        <v>43</v>
      </c>
      <c r="W156" s="4" t="s">
        <v>35</v>
      </c>
      <c r="X156" s="4" t="s">
        <v>35</v>
      </c>
      <c r="Y156" s="4">
        <v>14</v>
      </c>
      <c r="Z156" s="4">
        <v>12</v>
      </c>
      <c r="AA156" s="4">
        <v>0</v>
      </c>
      <c r="AB156" s="4">
        <v>0</v>
      </c>
      <c r="AC156" s="4" t="s">
        <v>322</v>
      </c>
      <c r="AD156" s="4" t="s">
        <v>41</v>
      </c>
      <c r="AE156" s="4">
        <v>6</v>
      </c>
      <c r="AF156" s="4">
        <v>75</v>
      </c>
    </row>
    <row r="157" ht="75" spans="1:32">
      <c r="A157" s="4" t="s">
        <v>419</v>
      </c>
      <c r="B157" s="1" t="str">
        <f>_xlfn.DISPIMG("ID_CBFB4217FDC54A818844AFCC0914A043",1)</f>
        <v>=DISPIMG("ID_CBFB4217FDC54A818844AFCC0914A043",1)</v>
      </c>
      <c r="C157" s="1" t="s">
        <v>418</v>
      </c>
      <c r="D157" s="4">
        <v>126</v>
      </c>
      <c r="E157" s="4">
        <v>0</v>
      </c>
      <c r="F157" s="4">
        <v>0</v>
      </c>
      <c r="G157" s="4">
        <v>0</v>
      </c>
      <c r="H157" s="4">
        <v>0</v>
      </c>
      <c r="I157" s="4">
        <v>100</v>
      </c>
      <c r="J157" s="4" t="s">
        <v>35</v>
      </c>
      <c r="K157" s="4" t="s">
        <v>35</v>
      </c>
      <c r="L157" s="4">
        <v>40</v>
      </c>
      <c r="M157" s="4">
        <v>25</v>
      </c>
      <c r="N157" s="4">
        <v>20</v>
      </c>
      <c r="O157" s="4">
        <v>20</v>
      </c>
      <c r="P157" s="4">
        <v>25</v>
      </c>
      <c r="Q157" s="4">
        <v>20</v>
      </c>
      <c r="R157" s="4">
        <v>0</v>
      </c>
      <c r="S157" s="4">
        <v>0</v>
      </c>
      <c r="T157" s="4">
        <v>0</v>
      </c>
      <c r="U157" s="4" t="s">
        <v>43</v>
      </c>
      <c r="V157" s="4" t="s">
        <v>43</v>
      </c>
      <c r="W157" s="4" t="s">
        <v>35</v>
      </c>
      <c r="X157" s="4" t="s">
        <v>35</v>
      </c>
      <c r="Y157" s="4">
        <v>15</v>
      </c>
      <c r="Z157" s="4">
        <v>13</v>
      </c>
      <c r="AA157" s="4">
        <v>0</v>
      </c>
      <c r="AB157" s="4">
        <v>0</v>
      </c>
      <c r="AC157" s="4" t="s">
        <v>388</v>
      </c>
      <c r="AD157" s="4" t="s">
        <v>265</v>
      </c>
      <c r="AE157" s="4">
        <v>7.5</v>
      </c>
      <c r="AF157" s="4">
        <v>75</v>
      </c>
    </row>
    <row r="158" ht="75" spans="1:32">
      <c r="A158" s="4" t="s">
        <v>420</v>
      </c>
      <c r="B158" s="1" t="str">
        <f>_xlfn.DISPIMG("ID_86D064A0CC4A47F18C0CC82D75CE2650",1)</f>
        <v>=DISPIMG("ID_86D064A0CC4A47F18C0CC82D75CE2650",1)</v>
      </c>
      <c r="C158" s="1" t="s">
        <v>418</v>
      </c>
      <c r="D158" s="4">
        <v>141</v>
      </c>
      <c r="E158" s="4">
        <v>0</v>
      </c>
      <c r="F158" s="4">
        <v>0</v>
      </c>
      <c r="G158" s="4">
        <v>0</v>
      </c>
      <c r="H158" s="4">
        <v>0</v>
      </c>
      <c r="I158" s="4">
        <v>100</v>
      </c>
      <c r="J158" s="4" t="s">
        <v>35</v>
      </c>
      <c r="K158" s="4" t="s">
        <v>35</v>
      </c>
      <c r="L158" s="4">
        <v>45</v>
      </c>
      <c r="M158" s="4">
        <v>30</v>
      </c>
      <c r="N158" s="4">
        <v>25</v>
      </c>
      <c r="O158" s="4">
        <v>25</v>
      </c>
      <c r="P158" s="4">
        <v>30</v>
      </c>
      <c r="Q158" s="4">
        <v>25</v>
      </c>
      <c r="R158" s="4">
        <v>0</v>
      </c>
      <c r="S158" s="4">
        <v>0</v>
      </c>
      <c r="T158" s="4">
        <v>0</v>
      </c>
      <c r="U158" s="4" t="s">
        <v>43</v>
      </c>
      <c r="V158" s="4" t="s">
        <v>34</v>
      </c>
      <c r="W158" s="4" t="s">
        <v>35</v>
      </c>
      <c r="X158" s="4" t="s">
        <v>35</v>
      </c>
      <c r="Y158" s="4">
        <v>17</v>
      </c>
      <c r="Z158" s="4">
        <v>11</v>
      </c>
      <c r="AA158" s="4">
        <v>0</v>
      </c>
      <c r="AB158" s="4">
        <v>0</v>
      </c>
      <c r="AC158" s="4" t="s">
        <v>388</v>
      </c>
      <c r="AD158" s="4" t="s">
        <v>265</v>
      </c>
      <c r="AE158" s="4">
        <v>11</v>
      </c>
      <c r="AF158" s="4">
        <v>95</v>
      </c>
    </row>
    <row r="159" ht="75" spans="1:32">
      <c r="A159" s="4" t="s">
        <v>421</v>
      </c>
      <c r="B159" s="1" t="str">
        <f>_xlfn.DISPIMG("ID_769881E68B404296889CDF4B3C0F3344",1)</f>
        <v>=DISPIMG("ID_769881E68B404296889CDF4B3C0F3344",1)</v>
      </c>
      <c r="C159" s="1" t="s">
        <v>418</v>
      </c>
      <c r="D159" s="4">
        <v>125</v>
      </c>
      <c r="E159" s="4">
        <v>0</v>
      </c>
      <c r="F159" s="4">
        <v>0</v>
      </c>
      <c r="G159" s="4">
        <v>0</v>
      </c>
      <c r="H159" s="4">
        <v>0</v>
      </c>
      <c r="I159" s="4">
        <v>100</v>
      </c>
      <c r="J159" s="4" t="s">
        <v>35</v>
      </c>
      <c r="K159" s="4" t="s">
        <v>35</v>
      </c>
      <c r="L159" s="4">
        <v>40</v>
      </c>
      <c r="M159" s="4">
        <v>25</v>
      </c>
      <c r="N159" s="4">
        <v>20</v>
      </c>
      <c r="O159" s="4">
        <v>20</v>
      </c>
      <c r="P159" s="4">
        <v>25</v>
      </c>
      <c r="Q159" s="4">
        <v>20</v>
      </c>
      <c r="R159" s="4">
        <v>0</v>
      </c>
      <c r="S159" s="4">
        <v>0</v>
      </c>
      <c r="T159" s="4">
        <v>0</v>
      </c>
      <c r="U159" s="4" t="s">
        <v>43</v>
      </c>
      <c r="V159" s="4" t="s">
        <v>43</v>
      </c>
      <c r="W159" s="4" t="s">
        <v>35</v>
      </c>
      <c r="X159" s="4" t="s">
        <v>35</v>
      </c>
      <c r="Y159" s="4">
        <v>16</v>
      </c>
      <c r="Z159" s="4">
        <v>12</v>
      </c>
      <c r="AA159" s="4">
        <v>0</v>
      </c>
      <c r="AB159" s="4">
        <v>0</v>
      </c>
      <c r="AC159" s="4" t="s">
        <v>239</v>
      </c>
      <c r="AD159" s="4" t="s">
        <v>422</v>
      </c>
      <c r="AE159" s="4">
        <v>8</v>
      </c>
      <c r="AF159" s="4">
        <v>75</v>
      </c>
    </row>
    <row r="160" ht="75" spans="1:32">
      <c r="A160" s="4" t="s">
        <v>423</v>
      </c>
      <c r="B160" s="1" t="str">
        <f>_xlfn.DISPIMG("ID_3A0CD81CCEB04E68A6FCAE73C22872DB",1)</f>
        <v>=DISPIMG("ID_3A0CD81CCEB04E68A6FCAE73C22872DB",1)</v>
      </c>
      <c r="C160" s="1" t="s">
        <v>418</v>
      </c>
      <c r="D160" s="4">
        <v>145</v>
      </c>
      <c r="E160" s="4">
        <v>0</v>
      </c>
      <c r="F160" s="4">
        <v>0</v>
      </c>
      <c r="G160" s="4">
        <v>0</v>
      </c>
      <c r="H160" s="4">
        <v>0</v>
      </c>
      <c r="I160" s="4">
        <v>100</v>
      </c>
      <c r="J160" s="4" t="s">
        <v>35</v>
      </c>
      <c r="K160" s="4" t="s">
        <v>35</v>
      </c>
      <c r="L160" s="4">
        <v>50</v>
      </c>
      <c r="M160" s="4">
        <v>30</v>
      </c>
      <c r="N160" s="4">
        <v>25</v>
      </c>
      <c r="O160" s="4">
        <v>25</v>
      </c>
      <c r="P160" s="4">
        <v>30</v>
      </c>
      <c r="Q160" s="4">
        <v>25</v>
      </c>
      <c r="R160" s="4">
        <v>0</v>
      </c>
      <c r="S160" s="4">
        <v>0</v>
      </c>
      <c r="T160" s="4">
        <v>0</v>
      </c>
      <c r="U160" s="4" t="s">
        <v>43</v>
      </c>
      <c r="V160" s="4" t="s">
        <v>34</v>
      </c>
      <c r="W160" s="4" t="s">
        <v>35</v>
      </c>
      <c r="X160" s="4" t="s">
        <v>35</v>
      </c>
      <c r="Y160" s="4">
        <v>26</v>
      </c>
      <c r="Z160" s="4">
        <v>16</v>
      </c>
      <c r="AA160" s="4">
        <v>0</v>
      </c>
      <c r="AB160" s="4">
        <v>0</v>
      </c>
      <c r="AC160" s="4" t="s">
        <v>334</v>
      </c>
      <c r="AD160" s="4" t="s">
        <v>250</v>
      </c>
      <c r="AE160" s="4">
        <v>14</v>
      </c>
      <c r="AF160" s="4">
        <v>145</v>
      </c>
    </row>
    <row r="161" ht="75" spans="1:32">
      <c r="A161" s="4" t="s">
        <v>424</v>
      </c>
      <c r="B161" s="1" t="str">
        <f>_xlfn.DISPIMG("ID_68226D211D034D47BE44B04F27A43430",1)</f>
        <v>=DISPIMG("ID_68226D211D034D47BE44B04F27A43430",1)</v>
      </c>
      <c r="C161" s="1" t="s">
        <v>418</v>
      </c>
      <c r="D161" s="4">
        <v>145</v>
      </c>
      <c r="E161" s="4">
        <v>0</v>
      </c>
      <c r="F161" s="4">
        <v>0</v>
      </c>
      <c r="G161" s="4">
        <v>0</v>
      </c>
      <c r="H161" s="4">
        <v>0</v>
      </c>
      <c r="I161" s="4">
        <v>100</v>
      </c>
      <c r="J161" s="4" t="s">
        <v>35</v>
      </c>
      <c r="K161" s="4" t="s">
        <v>35</v>
      </c>
      <c r="L161" s="4">
        <v>45</v>
      </c>
      <c r="M161" s="4">
        <v>30</v>
      </c>
      <c r="N161" s="4">
        <v>25</v>
      </c>
      <c r="O161" s="4">
        <v>25</v>
      </c>
      <c r="P161" s="4">
        <v>30</v>
      </c>
      <c r="Q161" s="4">
        <v>25</v>
      </c>
      <c r="R161" s="4">
        <v>0</v>
      </c>
      <c r="S161" s="4">
        <v>0</v>
      </c>
      <c r="T161" s="4">
        <v>0</v>
      </c>
      <c r="U161" s="4" t="s">
        <v>53</v>
      </c>
      <c r="V161" s="4" t="s">
        <v>34</v>
      </c>
      <c r="W161" s="4" t="s">
        <v>35</v>
      </c>
      <c r="X161" s="4" t="s">
        <v>35</v>
      </c>
      <c r="Y161" s="4">
        <v>30</v>
      </c>
      <c r="Z161" s="4">
        <v>15</v>
      </c>
      <c r="AA161" s="4">
        <v>0</v>
      </c>
      <c r="AB161" s="4">
        <v>0</v>
      </c>
      <c r="AC161" s="4" t="s">
        <v>425</v>
      </c>
      <c r="AD161" s="4" t="s">
        <v>412</v>
      </c>
      <c r="AE161" s="4">
        <v>13</v>
      </c>
      <c r="AF161" s="4">
        <v>500</v>
      </c>
    </row>
    <row r="162" ht="75" spans="1:32">
      <c r="A162" s="4" t="s">
        <v>426</v>
      </c>
      <c r="B162" s="1" t="str">
        <f>_xlfn.DISPIMG("ID_AD05C148AE3243F299C754715DF965ED",1)</f>
        <v>=DISPIMG("ID_AD05C148AE3243F299C754715DF965ED",1)</v>
      </c>
      <c r="C162" s="1" t="s">
        <v>418</v>
      </c>
      <c r="D162" s="4">
        <v>130</v>
      </c>
      <c r="E162" s="4">
        <v>0</v>
      </c>
      <c r="F162" s="4">
        <v>0</v>
      </c>
      <c r="G162" s="4">
        <v>0</v>
      </c>
      <c r="H162" s="4">
        <v>0</v>
      </c>
      <c r="I162" s="4">
        <v>100</v>
      </c>
      <c r="J162" s="4" t="s">
        <v>35</v>
      </c>
      <c r="K162" s="4" t="s">
        <v>35</v>
      </c>
      <c r="L162" s="4">
        <v>40</v>
      </c>
      <c r="M162" s="4">
        <v>25</v>
      </c>
      <c r="N162" s="4">
        <v>20</v>
      </c>
      <c r="O162" s="4">
        <v>20</v>
      </c>
      <c r="P162" s="4">
        <v>25</v>
      </c>
      <c r="Q162" s="4">
        <v>20</v>
      </c>
      <c r="R162" s="4">
        <v>0</v>
      </c>
      <c r="S162" s="4">
        <v>0</v>
      </c>
      <c r="T162" s="4">
        <v>0</v>
      </c>
      <c r="U162" s="4" t="s">
        <v>43</v>
      </c>
      <c r="V162" s="4" t="s">
        <v>43</v>
      </c>
      <c r="W162" s="4" t="s">
        <v>35</v>
      </c>
      <c r="X162" s="4" t="s">
        <v>35</v>
      </c>
      <c r="Y162" s="4">
        <v>14</v>
      </c>
      <c r="Z162" s="4">
        <v>14</v>
      </c>
      <c r="AA162" s="4">
        <v>0</v>
      </c>
      <c r="AB162" s="4">
        <v>0</v>
      </c>
      <c r="AC162" s="4" t="s">
        <v>213</v>
      </c>
      <c r="AD162" s="4" t="s">
        <v>75</v>
      </c>
      <c r="AE162" s="4">
        <v>8</v>
      </c>
      <c r="AF162" s="4">
        <v>80</v>
      </c>
    </row>
    <row r="163" ht="75" spans="1:32">
      <c r="A163" s="4" t="s">
        <v>427</v>
      </c>
      <c r="B163" s="1" t="str">
        <f>_xlfn.DISPIMG("ID_229BE59E152948AF8F9BC962A889BFFF",1)</f>
        <v>=DISPIMG("ID_229BE59E152948AF8F9BC962A889BFFF",1)</v>
      </c>
      <c r="C163" s="1" t="s">
        <v>418</v>
      </c>
      <c r="D163" s="4">
        <v>159</v>
      </c>
      <c r="E163" s="4">
        <v>0</v>
      </c>
      <c r="F163" s="4">
        <v>0</v>
      </c>
      <c r="G163" s="4">
        <v>0</v>
      </c>
      <c r="H163" s="4">
        <v>0</v>
      </c>
      <c r="I163" s="4">
        <v>100</v>
      </c>
      <c r="J163" s="4" t="s">
        <v>35</v>
      </c>
      <c r="K163" s="4" t="s">
        <v>35</v>
      </c>
      <c r="L163" s="4">
        <v>40</v>
      </c>
      <c r="M163" s="4">
        <v>25</v>
      </c>
      <c r="N163" s="4">
        <v>30</v>
      </c>
      <c r="O163" s="4">
        <v>20</v>
      </c>
      <c r="P163" s="4">
        <v>25</v>
      </c>
      <c r="Q163" s="4">
        <v>25</v>
      </c>
      <c r="R163" s="4">
        <v>0</v>
      </c>
      <c r="S163" s="4">
        <v>0</v>
      </c>
      <c r="T163" s="4">
        <v>0</v>
      </c>
      <c r="U163" s="4" t="s">
        <v>43</v>
      </c>
      <c r="V163" s="4" t="s">
        <v>43</v>
      </c>
      <c r="W163" s="4" t="s">
        <v>35</v>
      </c>
      <c r="X163" s="4" t="s">
        <v>35</v>
      </c>
      <c r="Y163" s="4">
        <v>28</v>
      </c>
      <c r="Z163" s="4">
        <v>18</v>
      </c>
      <c r="AA163" s="4">
        <v>0</v>
      </c>
      <c r="AB163" s="4">
        <v>0</v>
      </c>
      <c r="AC163" s="4" t="s">
        <v>388</v>
      </c>
      <c r="AD163" s="4" t="s">
        <v>265</v>
      </c>
      <c r="AE163" s="4">
        <v>9</v>
      </c>
      <c r="AF163" s="4">
        <v>115</v>
      </c>
    </row>
    <row r="164" ht="75" spans="1:32">
      <c r="A164" s="4" t="s">
        <v>428</v>
      </c>
      <c r="B164" s="1" t="str">
        <f>_xlfn.DISPIMG("ID_8237B03E1871416F9A2D47922C03C7A5",1)</f>
        <v>=DISPIMG("ID_8237B03E1871416F9A2D47922C03C7A5",1)</v>
      </c>
      <c r="C164" s="1" t="s">
        <v>418</v>
      </c>
      <c r="D164" s="4">
        <v>118</v>
      </c>
      <c r="E164" s="4">
        <v>0</v>
      </c>
      <c r="F164" s="4">
        <v>75</v>
      </c>
      <c r="G164" s="4">
        <v>0</v>
      </c>
      <c r="H164" s="4">
        <v>0</v>
      </c>
      <c r="I164" s="4">
        <v>100</v>
      </c>
      <c r="J164" s="4">
        <v>100</v>
      </c>
      <c r="K164" s="4" t="s">
        <v>35</v>
      </c>
      <c r="L164" s="4">
        <v>40</v>
      </c>
      <c r="M164" s="4">
        <v>25</v>
      </c>
      <c r="N164" s="4">
        <v>20</v>
      </c>
      <c r="O164" s="4">
        <v>20</v>
      </c>
      <c r="P164" s="4">
        <v>25</v>
      </c>
      <c r="Q164" s="4">
        <v>25</v>
      </c>
      <c r="R164" s="4">
        <v>0</v>
      </c>
      <c r="S164" s="4">
        <v>0</v>
      </c>
      <c r="T164" s="4">
        <v>0</v>
      </c>
      <c r="U164" s="4" t="s">
        <v>43</v>
      </c>
      <c r="V164" s="4" t="s">
        <v>43</v>
      </c>
      <c r="W164" s="4" t="s">
        <v>36</v>
      </c>
      <c r="X164" s="4" t="s">
        <v>35</v>
      </c>
      <c r="Y164" s="4">
        <v>18</v>
      </c>
      <c r="Z164" s="4">
        <v>18</v>
      </c>
      <c r="AA164" s="4">
        <v>12</v>
      </c>
      <c r="AB164" s="4">
        <v>12</v>
      </c>
      <c r="AC164" s="4" t="s">
        <v>429</v>
      </c>
      <c r="AD164" s="4" t="s">
        <v>41</v>
      </c>
      <c r="AE164" s="4">
        <v>10</v>
      </c>
      <c r="AF164" s="4">
        <v>85</v>
      </c>
    </row>
    <row r="165" ht="75" spans="1:32">
      <c r="A165" s="4" t="s">
        <v>430</v>
      </c>
      <c r="B165" s="1" t="str">
        <f>_xlfn.DISPIMG("ID_2662591F737646A8A36311A565AB4CF4",1)</f>
        <v>=DISPIMG("ID_2662591F737646A8A36311A565AB4CF4",1)</v>
      </c>
      <c r="C165" s="1" t="s">
        <v>418</v>
      </c>
      <c r="D165" s="4">
        <v>124</v>
      </c>
      <c r="E165" s="4">
        <v>0</v>
      </c>
      <c r="F165" s="4">
        <v>0</v>
      </c>
      <c r="G165" s="4">
        <v>0</v>
      </c>
      <c r="H165" s="4">
        <v>74</v>
      </c>
      <c r="I165" s="4">
        <v>100</v>
      </c>
      <c r="J165" s="4" t="s">
        <v>35</v>
      </c>
      <c r="K165" s="4" t="s">
        <v>35</v>
      </c>
      <c r="L165" s="4">
        <v>45</v>
      </c>
      <c r="M165" s="4">
        <v>30</v>
      </c>
      <c r="N165" s="4">
        <v>25</v>
      </c>
      <c r="O165" s="4">
        <v>25</v>
      </c>
      <c r="P165" s="4">
        <v>30</v>
      </c>
      <c r="Q165" s="4">
        <v>25</v>
      </c>
      <c r="R165" s="4">
        <v>0</v>
      </c>
      <c r="S165" s="4">
        <v>0</v>
      </c>
      <c r="T165" s="4">
        <v>0</v>
      </c>
      <c r="U165" s="4" t="s">
        <v>43</v>
      </c>
      <c r="V165" s="4" t="s">
        <v>35</v>
      </c>
      <c r="W165" s="4" t="s">
        <v>34</v>
      </c>
      <c r="X165" s="4" t="s">
        <v>43</v>
      </c>
      <c r="Y165" s="4">
        <v>19</v>
      </c>
      <c r="Z165" s="4">
        <v>0</v>
      </c>
      <c r="AA165" s="4">
        <v>10</v>
      </c>
      <c r="AB165" s="4">
        <v>14</v>
      </c>
      <c r="AC165" s="4" t="s">
        <v>431</v>
      </c>
      <c r="AD165" s="4" t="s">
        <v>432</v>
      </c>
      <c r="AE165" s="4">
        <v>12</v>
      </c>
      <c r="AF165" s="4">
        <v>80</v>
      </c>
    </row>
    <row r="166" ht="75" spans="1:32">
      <c r="A166" s="4" t="s">
        <v>433</v>
      </c>
      <c r="B166" s="1" t="str">
        <f>_xlfn.DISPIMG("ID_E2B7C3AF726E4DF2BB9A7C0ACE8196A9",1)</f>
        <v>=DISPIMG("ID_E2B7C3AF726E4DF2BB9A7C0ACE8196A9",1)</v>
      </c>
      <c r="C166" s="1" t="s">
        <v>418</v>
      </c>
      <c r="D166" s="4">
        <v>132</v>
      </c>
      <c r="E166" s="4">
        <v>0</v>
      </c>
      <c r="F166" s="4">
        <v>0</v>
      </c>
      <c r="G166" s="4">
        <v>0</v>
      </c>
      <c r="H166" s="4">
        <v>0</v>
      </c>
      <c r="I166" s="4">
        <v>100</v>
      </c>
      <c r="J166" s="4" t="s">
        <v>35</v>
      </c>
      <c r="K166" s="4" t="s">
        <v>35</v>
      </c>
      <c r="L166" s="4">
        <v>40</v>
      </c>
      <c r="M166" s="4">
        <v>25</v>
      </c>
      <c r="N166" s="4">
        <v>20</v>
      </c>
      <c r="O166" s="4">
        <v>20</v>
      </c>
      <c r="P166" s="4">
        <v>25</v>
      </c>
      <c r="Q166" s="4">
        <v>20</v>
      </c>
      <c r="R166" s="4">
        <v>0</v>
      </c>
      <c r="S166" s="4">
        <v>0</v>
      </c>
      <c r="T166" s="4">
        <v>0</v>
      </c>
      <c r="U166" s="4" t="s">
        <v>53</v>
      </c>
      <c r="V166" s="4" t="s">
        <v>34</v>
      </c>
      <c r="W166" s="4" t="s">
        <v>35</v>
      </c>
      <c r="X166" s="4" t="s">
        <v>35</v>
      </c>
      <c r="Y166" s="4">
        <v>26</v>
      </c>
      <c r="Z166" s="4">
        <v>16</v>
      </c>
      <c r="AA166" s="4">
        <v>0</v>
      </c>
      <c r="AB166" s="4">
        <v>0</v>
      </c>
      <c r="AC166" s="4" t="s">
        <v>434</v>
      </c>
      <c r="AD166" s="4">
        <f>-(17/20)</f>
        <v>-0.85</v>
      </c>
      <c r="AE166" s="4">
        <v>13.5</v>
      </c>
      <c r="AF166" s="4">
        <v>90</v>
      </c>
    </row>
    <row r="167" ht="75" spans="1:32">
      <c r="A167" s="4" t="s">
        <v>435</v>
      </c>
      <c r="B167" s="1" t="str">
        <f>_xlfn.DISPIMG("ID_2A622D2DC1FE448FB9BCD9063CF704C9",1)</f>
        <v>=DISPIMG("ID_2A622D2DC1FE448FB9BCD9063CF704C9",1)</v>
      </c>
      <c r="C167" s="1" t="s">
        <v>436</v>
      </c>
      <c r="D167" s="4">
        <v>105</v>
      </c>
      <c r="E167" s="4">
        <v>0</v>
      </c>
      <c r="F167" s="4">
        <v>0</v>
      </c>
      <c r="G167" s="4">
        <v>0</v>
      </c>
      <c r="H167" s="4">
        <v>0</v>
      </c>
      <c r="I167" s="4">
        <v>100</v>
      </c>
      <c r="J167" s="4" t="s">
        <v>35</v>
      </c>
      <c r="K167" s="4" t="s">
        <v>35</v>
      </c>
      <c r="L167" s="4">
        <v>40</v>
      </c>
      <c r="M167" s="4">
        <v>25</v>
      </c>
      <c r="N167" s="4">
        <v>20</v>
      </c>
      <c r="O167" s="4">
        <v>20</v>
      </c>
      <c r="P167" s="4">
        <v>25</v>
      </c>
      <c r="Q167" s="4">
        <v>20</v>
      </c>
      <c r="R167" s="4">
        <v>30</v>
      </c>
      <c r="S167" s="4">
        <v>0</v>
      </c>
      <c r="T167" s="4">
        <v>0</v>
      </c>
      <c r="U167" s="4" t="s">
        <v>34</v>
      </c>
      <c r="V167" s="4" t="s">
        <v>53</v>
      </c>
      <c r="W167" s="4" t="s">
        <v>35</v>
      </c>
      <c r="X167" s="4" t="s">
        <v>35</v>
      </c>
      <c r="Y167" s="4">
        <v>14</v>
      </c>
      <c r="Z167" s="4">
        <v>14</v>
      </c>
      <c r="AA167" s="4">
        <v>0</v>
      </c>
      <c r="AB167" s="4">
        <v>0</v>
      </c>
      <c r="AC167" s="4" t="s">
        <v>437</v>
      </c>
      <c r="AD167" s="4" t="s">
        <v>79</v>
      </c>
      <c r="AE167" s="4">
        <v>7</v>
      </c>
      <c r="AF167" s="4">
        <v>60</v>
      </c>
    </row>
    <row r="168" ht="75" spans="1:32">
      <c r="A168" s="4" t="s">
        <v>438</v>
      </c>
      <c r="B168" s="1" t="str">
        <f>_xlfn.DISPIMG("ID_E2FA0A3562AD424095EFE47F2CDA6DA9",1)</f>
        <v>=DISPIMG("ID_E2FA0A3562AD424095EFE47F2CDA6DA9",1)</v>
      </c>
      <c r="C168" s="1" t="s">
        <v>436</v>
      </c>
      <c r="D168" s="4">
        <v>100</v>
      </c>
      <c r="E168" s="4">
        <v>0</v>
      </c>
      <c r="F168" s="4">
        <v>0</v>
      </c>
      <c r="G168" s="4">
        <v>0</v>
      </c>
      <c r="H168" s="4">
        <v>0</v>
      </c>
      <c r="I168" s="4">
        <v>100</v>
      </c>
      <c r="J168" s="4" t="s">
        <v>35</v>
      </c>
      <c r="K168" s="4" t="s">
        <v>35</v>
      </c>
      <c r="L168" s="4">
        <v>40</v>
      </c>
      <c r="M168" s="4">
        <v>25</v>
      </c>
      <c r="N168" s="4">
        <v>20</v>
      </c>
      <c r="O168" s="4">
        <v>20</v>
      </c>
      <c r="P168" s="4">
        <v>25</v>
      </c>
      <c r="Q168" s="4">
        <v>20</v>
      </c>
      <c r="R168" s="4">
        <v>30</v>
      </c>
      <c r="S168" s="4">
        <v>0</v>
      </c>
      <c r="T168" s="4">
        <v>0</v>
      </c>
      <c r="U168" s="4" t="s">
        <v>34</v>
      </c>
      <c r="V168" s="4" t="s">
        <v>46</v>
      </c>
      <c r="W168" s="4" t="s">
        <v>35</v>
      </c>
      <c r="X168" s="4" t="s">
        <v>35</v>
      </c>
      <c r="Y168" s="4">
        <v>14</v>
      </c>
      <c r="Z168" s="4">
        <v>19</v>
      </c>
      <c r="AA168" s="4">
        <v>0</v>
      </c>
      <c r="AB168" s="4">
        <v>12</v>
      </c>
      <c r="AC168" s="4" t="s">
        <v>264</v>
      </c>
      <c r="AD168" s="4" t="s">
        <v>51</v>
      </c>
      <c r="AE168" s="4">
        <v>7.5</v>
      </c>
      <c r="AF168" s="4">
        <v>55</v>
      </c>
    </row>
    <row r="169" ht="75" spans="1:32">
      <c r="A169" s="4" t="s">
        <v>439</v>
      </c>
      <c r="B169" s="1" t="str">
        <f>_xlfn.DISPIMG("ID_E1EDB54D2B7A4C93AD03EA3D1FB139AB",1)</f>
        <v>=DISPIMG("ID_E1EDB54D2B7A4C93AD03EA3D1FB139AB",1)</v>
      </c>
      <c r="C169" s="1" t="s">
        <v>436</v>
      </c>
      <c r="D169" s="4">
        <v>97</v>
      </c>
      <c r="E169" s="4">
        <v>0</v>
      </c>
      <c r="F169" s="4">
        <v>0</v>
      </c>
      <c r="G169" s="4">
        <v>0</v>
      </c>
      <c r="H169" s="4">
        <v>0</v>
      </c>
      <c r="I169" s="4">
        <v>100</v>
      </c>
      <c r="J169" s="4" t="s">
        <v>35</v>
      </c>
      <c r="K169" s="4" t="s">
        <v>35</v>
      </c>
      <c r="L169" s="4">
        <v>45</v>
      </c>
      <c r="M169" s="4">
        <v>30</v>
      </c>
      <c r="N169" s="4">
        <v>25</v>
      </c>
      <c r="O169" s="4">
        <v>25</v>
      </c>
      <c r="P169" s="4">
        <v>30</v>
      </c>
      <c r="Q169" s="4">
        <v>25</v>
      </c>
      <c r="R169" s="4">
        <v>38</v>
      </c>
      <c r="S169" s="4">
        <v>0</v>
      </c>
      <c r="T169" s="4">
        <v>0</v>
      </c>
      <c r="U169" s="4" t="s">
        <v>43</v>
      </c>
      <c r="V169" s="4" t="s">
        <v>53</v>
      </c>
      <c r="W169" s="4" t="s">
        <v>35</v>
      </c>
      <c r="X169" s="4" t="s">
        <v>35</v>
      </c>
      <c r="Y169" s="4">
        <v>16</v>
      </c>
      <c r="Z169" s="4">
        <v>18</v>
      </c>
      <c r="AA169" s="4">
        <v>0</v>
      </c>
      <c r="AB169" s="4">
        <v>0</v>
      </c>
      <c r="AC169" s="4" t="s">
        <v>437</v>
      </c>
      <c r="AD169" s="4" t="s">
        <v>79</v>
      </c>
      <c r="AE169" s="4">
        <v>9</v>
      </c>
      <c r="AF169" s="4">
        <v>55</v>
      </c>
    </row>
    <row r="170" ht="75" spans="1:32">
      <c r="A170" s="4" t="s">
        <v>440</v>
      </c>
      <c r="B170" s="1" t="str">
        <f>_xlfn.DISPIMG("ID_A25F146C1E1349F692C053F102636DDE",1)</f>
        <v>=DISPIMG("ID_A25F146C1E1349F692C053F102636DDE",1)</v>
      </c>
      <c r="C170" s="1" t="s">
        <v>436</v>
      </c>
      <c r="D170" s="4">
        <v>110</v>
      </c>
      <c r="E170" s="4">
        <v>77</v>
      </c>
      <c r="F170" s="4">
        <v>0</v>
      </c>
      <c r="G170" s="4">
        <v>0</v>
      </c>
      <c r="H170" s="4">
        <v>0</v>
      </c>
      <c r="I170" s="4">
        <v>100</v>
      </c>
      <c r="J170" s="4" t="s">
        <v>35</v>
      </c>
      <c r="K170" s="4" t="s">
        <v>35</v>
      </c>
      <c r="L170" s="4">
        <v>40</v>
      </c>
      <c r="M170" s="4">
        <v>25</v>
      </c>
      <c r="N170" s="4">
        <v>20</v>
      </c>
      <c r="O170" s="4">
        <v>20</v>
      </c>
      <c r="P170" s="4">
        <v>25</v>
      </c>
      <c r="Q170" s="4">
        <v>20</v>
      </c>
      <c r="R170" s="4">
        <v>0</v>
      </c>
      <c r="S170" s="4">
        <v>0</v>
      </c>
      <c r="T170" s="4">
        <v>45</v>
      </c>
      <c r="U170" s="4" t="s">
        <v>34</v>
      </c>
      <c r="V170" s="4" t="s">
        <v>36</v>
      </c>
      <c r="W170" s="4" t="s">
        <v>53</v>
      </c>
      <c r="X170" s="4" t="s">
        <v>34</v>
      </c>
      <c r="Y170" s="4">
        <v>12</v>
      </c>
      <c r="Z170" s="4">
        <v>16</v>
      </c>
      <c r="AA170" s="4">
        <v>12</v>
      </c>
      <c r="AB170" s="4">
        <v>11</v>
      </c>
      <c r="AC170" s="4" t="s">
        <v>441</v>
      </c>
      <c r="AD170" s="4" t="s">
        <v>442</v>
      </c>
      <c r="AE170" s="4">
        <v>13</v>
      </c>
      <c r="AF170" s="4">
        <v>60</v>
      </c>
    </row>
    <row r="171" ht="75" spans="1:36">
      <c r="A171" s="4" t="s">
        <v>443</v>
      </c>
      <c r="B171" s="1" t="str">
        <f>_xlfn.DISPIMG("ID_EFBA8B239E334772BDBF3FA702BB49CD",1)</f>
        <v>=DISPIMG("ID_EFBA8B239E334772BDBF3FA702BB49CD",1)</v>
      </c>
      <c r="C171" s="1" t="s">
        <v>444</v>
      </c>
      <c r="D171" s="4">
        <v>90</v>
      </c>
      <c r="E171" s="4">
        <v>0</v>
      </c>
      <c r="F171" s="4">
        <v>0</v>
      </c>
      <c r="G171" s="4">
        <v>0</v>
      </c>
      <c r="H171" s="4">
        <v>0</v>
      </c>
      <c r="I171" s="4">
        <v>100</v>
      </c>
      <c r="J171" s="4" t="s">
        <v>35</v>
      </c>
      <c r="K171" s="4" t="s">
        <v>35</v>
      </c>
      <c r="L171" s="4">
        <v>25</v>
      </c>
      <c r="M171" s="4">
        <v>15</v>
      </c>
      <c r="N171" s="4">
        <v>10</v>
      </c>
      <c r="O171" s="4">
        <v>10</v>
      </c>
      <c r="P171" s="4">
        <v>15</v>
      </c>
      <c r="Q171" s="4">
        <v>10</v>
      </c>
      <c r="R171" s="4">
        <v>0</v>
      </c>
      <c r="S171" s="4">
        <v>0</v>
      </c>
      <c r="T171" s="4">
        <v>0</v>
      </c>
      <c r="U171" s="4" t="s">
        <v>35</v>
      </c>
      <c r="V171" s="4" t="s">
        <v>53</v>
      </c>
      <c r="W171" s="4" t="s">
        <v>35</v>
      </c>
      <c r="X171" s="4" t="s">
        <v>35</v>
      </c>
      <c r="Y171" s="4">
        <v>6</v>
      </c>
      <c r="Z171" s="4">
        <v>14</v>
      </c>
      <c r="AA171" s="4">
        <v>0</v>
      </c>
      <c r="AB171" s="4">
        <v>0</v>
      </c>
      <c r="AC171" s="4" t="s">
        <v>445</v>
      </c>
      <c r="AD171" s="4" t="s">
        <v>299</v>
      </c>
      <c r="AE171" s="4">
        <v>2</v>
      </c>
      <c r="AF171" s="4">
        <v>50</v>
      </c>
      <c r="AG171" s="2"/>
      <c r="AH171" s="2"/>
      <c r="AI171" s="2"/>
      <c r="AJ171" s="2"/>
    </row>
    <row r="172" ht="75" spans="1:35">
      <c r="A172" s="4" t="s">
        <v>446</v>
      </c>
      <c r="B172" s="1" t="str">
        <f>_xlfn.DISPIMG("ID_52833E4970EC40D582E9AADE12855FD9",1)</f>
        <v>=DISPIMG("ID_52833E4970EC40D582E9AADE12855FD9",1)</v>
      </c>
      <c r="C172" s="1" t="s">
        <v>444</v>
      </c>
      <c r="D172" s="4">
        <v>77</v>
      </c>
      <c r="E172" s="4">
        <v>0</v>
      </c>
      <c r="F172" s="4">
        <v>80</v>
      </c>
      <c r="G172" s="4">
        <v>0</v>
      </c>
      <c r="H172" s="4">
        <v>0</v>
      </c>
      <c r="I172" s="4">
        <v>100</v>
      </c>
      <c r="J172" s="4" t="s">
        <v>35</v>
      </c>
      <c r="K172" s="4" t="s">
        <v>35</v>
      </c>
      <c r="L172" s="4">
        <v>30</v>
      </c>
      <c r="M172" s="4">
        <v>15</v>
      </c>
      <c r="N172" s="4">
        <v>20</v>
      </c>
      <c r="O172" s="4">
        <v>10</v>
      </c>
      <c r="P172" s="4">
        <v>15</v>
      </c>
      <c r="Q172" s="4">
        <v>15</v>
      </c>
      <c r="R172" s="4">
        <v>0</v>
      </c>
      <c r="S172" s="4">
        <v>0</v>
      </c>
      <c r="T172" s="4">
        <v>0</v>
      </c>
      <c r="U172" s="4" t="s">
        <v>35</v>
      </c>
      <c r="V172" s="4" t="s">
        <v>43</v>
      </c>
      <c r="W172" s="4" t="s">
        <v>53</v>
      </c>
      <c r="X172" s="4" t="s">
        <v>53</v>
      </c>
      <c r="Y172" s="4">
        <v>9</v>
      </c>
      <c r="Z172" s="4">
        <v>17</v>
      </c>
      <c r="AA172" s="4">
        <v>12</v>
      </c>
      <c r="AB172" s="4">
        <v>12</v>
      </c>
      <c r="AC172" s="4" t="s">
        <v>447</v>
      </c>
      <c r="AD172" s="4" t="s">
        <v>87</v>
      </c>
      <c r="AE172" s="4">
        <v>3</v>
      </c>
      <c r="AF172" s="4">
        <v>50</v>
      </c>
      <c r="AG172" s="2"/>
      <c r="AH172" s="2"/>
      <c r="AI172" s="2"/>
    </row>
    <row r="173" ht="75" spans="1:34">
      <c r="A173" s="4" t="s">
        <v>448</v>
      </c>
      <c r="B173" s="1" t="str">
        <f>_xlfn.DISPIMG("ID_7E4ADAE1565F41899C9055B6FD9DB86E",1)</f>
        <v>=DISPIMG("ID_7E4ADAE1565F41899C9055B6FD9DB86E",1)</v>
      </c>
      <c r="C173" s="1" t="s">
        <v>444</v>
      </c>
      <c r="D173" s="4">
        <v>95</v>
      </c>
      <c r="E173" s="4">
        <v>0</v>
      </c>
      <c r="F173" s="4">
        <v>0</v>
      </c>
      <c r="G173" s="4">
        <v>0</v>
      </c>
      <c r="H173" s="4">
        <v>0</v>
      </c>
      <c r="I173" s="4">
        <v>100</v>
      </c>
      <c r="J173" s="4" t="s">
        <v>35</v>
      </c>
      <c r="K173" s="4" t="s">
        <v>35</v>
      </c>
      <c r="L173" s="4">
        <v>25</v>
      </c>
      <c r="M173" s="4">
        <v>15</v>
      </c>
      <c r="N173" s="4">
        <v>10</v>
      </c>
      <c r="O173" s="4">
        <v>10</v>
      </c>
      <c r="P173" s="4">
        <v>15</v>
      </c>
      <c r="Q173" s="4">
        <v>10</v>
      </c>
      <c r="R173" s="4">
        <v>30</v>
      </c>
      <c r="S173" s="4">
        <v>0</v>
      </c>
      <c r="T173" s="4">
        <v>0</v>
      </c>
      <c r="U173" s="4" t="s">
        <v>35</v>
      </c>
      <c r="V173" s="4" t="s">
        <v>43</v>
      </c>
      <c r="W173" s="4" t="s">
        <v>35</v>
      </c>
      <c r="X173" s="4" t="s">
        <v>35</v>
      </c>
      <c r="Y173" s="4">
        <v>6</v>
      </c>
      <c r="Z173" s="4">
        <v>19</v>
      </c>
      <c r="AA173" s="4">
        <v>0</v>
      </c>
      <c r="AB173" s="4">
        <v>0</v>
      </c>
      <c r="AC173" s="4" t="s">
        <v>445</v>
      </c>
      <c r="AD173" s="4" t="s">
        <v>299</v>
      </c>
      <c r="AE173" s="4">
        <v>2</v>
      </c>
      <c r="AF173" s="4">
        <v>50</v>
      </c>
      <c r="AG173" s="2"/>
      <c r="AH173" s="2"/>
    </row>
    <row r="174" ht="75" spans="1:33">
      <c r="A174" s="4" t="s">
        <v>449</v>
      </c>
      <c r="B174" s="1" t="str">
        <f>_xlfn.DISPIMG("ID_C99176A57427414DB4C51D75CCE2E91A",1)</f>
        <v>=DISPIMG("ID_C99176A57427414DB4C51D75CCE2E91A",1)</v>
      </c>
      <c r="C174" s="1" t="s">
        <v>444</v>
      </c>
      <c r="D174" s="4">
        <v>102</v>
      </c>
      <c r="E174" s="4">
        <v>0</v>
      </c>
      <c r="F174" s="4">
        <v>0</v>
      </c>
      <c r="G174" s="4">
        <v>0</v>
      </c>
      <c r="H174" s="4">
        <v>0</v>
      </c>
      <c r="I174" s="4">
        <v>100</v>
      </c>
      <c r="J174" s="4" t="s">
        <v>35</v>
      </c>
      <c r="K174" s="4" t="s">
        <v>35</v>
      </c>
      <c r="L174" s="4">
        <v>25</v>
      </c>
      <c r="M174" s="4">
        <v>15</v>
      </c>
      <c r="N174" s="4">
        <v>10</v>
      </c>
      <c r="O174" s="4">
        <v>10</v>
      </c>
      <c r="P174" s="4">
        <v>15</v>
      </c>
      <c r="Q174" s="4">
        <v>10</v>
      </c>
      <c r="R174" s="4">
        <v>0</v>
      </c>
      <c r="S174" s="4">
        <v>33</v>
      </c>
      <c r="T174" s="4">
        <v>0</v>
      </c>
      <c r="U174" s="4" t="s">
        <v>35</v>
      </c>
      <c r="V174" s="4" t="s">
        <v>43</v>
      </c>
      <c r="W174" s="4" t="s">
        <v>35</v>
      </c>
      <c r="X174" s="4" t="s">
        <v>35</v>
      </c>
      <c r="Y174" s="4">
        <v>9</v>
      </c>
      <c r="Z174" s="4">
        <v>20</v>
      </c>
      <c r="AA174" s="4">
        <v>0</v>
      </c>
      <c r="AB174" s="4">
        <v>0</v>
      </c>
      <c r="AC174" s="4" t="s">
        <v>445</v>
      </c>
      <c r="AD174" s="4" t="s">
        <v>299</v>
      </c>
      <c r="AE174" s="4">
        <v>2.5</v>
      </c>
      <c r="AF174" s="4">
        <v>50</v>
      </c>
      <c r="AG174" s="2"/>
    </row>
    <row r="175" ht="75" spans="1:32">
      <c r="A175" s="4" t="s">
        <v>450</v>
      </c>
      <c r="B175" s="1" t="str">
        <f>_xlfn.DISPIMG("ID_55F7D20384804DE8B37187C45D83513F",1)</f>
        <v>=DISPIMG("ID_55F7D20384804DE8B37187C45D83513F",1)</v>
      </c>
      <c r="C175" s="1" t="s">
        <v>444</v>
      </c>
      <c r="D175" s="4">
        <v>79</v>
      </c>
      <c r="E175" s="4">
        <v>0</v>
      </c>
      <c r="F175" s="4">
        <v>0</v>
      </c>
      <c r="G175" s="4">
        <v>0</v>
      </c>
      <c r="H175" s="4">
        <v>0</v>
      </c>
      <c r="I175" s="4">
        <v>100</v>
      </c>
      <c r="J175" s="4">
        <v>60</v>
      </c>
      <c r="K175" s="4" t="s">
        <v>35</v>
      </c>
      <c r="L175" s="4">
        <v>25</v>
      </c>
      <c r="M175" s="4">
        <v>15</v>
      </c>
      <c r="N175" s="4">
        <v>10</v>
      </c>
      <c r="O175" s="4">
        <v>10</v>
      </c>
      <c r="P175" s="4">
        <v>15</v>
      </c>
      <c r="Q175" s="4">
        <v>10</v>
      </c>
      <c r="R175" s="4">
        <v>34</v>
      </c>
      <c r="S175" s="4">
        <v>0</v>
      </c>
      <c r="T175" s="4">
        <v>0</v>
      </c>
      <c r="U175" s="4" t="s">
        <v>53</v>
      </c>
      <c r="V175" s="4" t="s">
        <v>34</v>
      </c>
      <c r="W175" s="4" t="s">
        <v>35</v>
      </c>
      <c r="X175" s="4" t="s">
        <v>36</v>
      </c>
      <c r="Y175" s="4">
        <v>10</v>
      </c>
      <c r="Z175" s="4">
        <v>12</v>
      </c>
      <c r="AA175" s="4">
        <v>0</v>
      </c>
      <c r="AB175" s="4">
        <v>17</v>
      </c>
      <c r="AC175" s="4" t="s">
        <v>451</v>
      </c>
      <c r="AD175" s="4" t="s">
        <v>65</v>
      </c>
      <c r="AE175" s="4">
        <v>3.5</v>
      </c>
      <c r="AF175" s="4">
        <v>50</v>
      </c>
    </row>
    <row r="176" ht="75" spans="1:32">
      <c r="A176" s="4" t="s">
        <v>452</v>
      </c>
      <c r="B176" s="1" t="str">
        <f>_xlfn.DISPIMG("ID_96EEC0BA16CB42A99A384F8D418BE141",1)</f>
        <v>=DISPIMG("ID_96EEC0BA16CB42A99A384F8D418BE141",1)</v>
      </c>
      <c r="C176" s="1" t="s">
        <v>453</v>
      </c>
      <c r="D176" s="4">
        <v>86</v>
      </c>
      <c r="E176" s="4">
        <v>0</v>
      </c>
      <c r="F176" s="4">
        <v>0</v>
      </c>
      <c r="G176" s="4">
        <v>0</v>
      </c>
      <c r="H176" s="4">
        <v>0</v>
      </c>
      <c r="I176" s="4">
        <v>110</v>
      </c>
      <c r="J176" s="4" t="s">
        <v>35</v>
      </c>
      <c r="K176" s="4" t="s">
        <v>35</v>
      </c>
      <c r="L176" s="4" t="s">
        <v>35</v>
      </c>
      <c r="M176" s="4" t="s">
        <v>35</v>
      </c>
      <c r="N176" s="4" t="s">
        <v>35</v>
      </c>
      <c r="O176" s="4" t="s">
        <v>35</v>
      </c>
      <c r="P176" s="4" t="s">
        <v>35</v>
      </c>
      <c r="Q176" s="4" t="s">
        <v>35</v>
      </c>
      <c r="R176" s="4">
        <v>30</v>
      </c>
      <c r="S176" s="4">
        <v>0</v>
      </c>
      <c r="T176" s="4">
        <v>0</v>
      </c>
      <c r="U176" s="4" t="s">
        <v>34</v>
      </c>
      <c r="V176" s="4" t="s">
        <v>53</v>
      </c>
      <c r="W176" s="4" t="s">
        <v>35</v>
      </c>
      <c r="X176" s="4" t="s">
        <v>35</v>
      </c>
      <c r="Y176" s="4">
        <v>6</v>
      </c>
      <c r="Z176" s="4">
        <v>14</v>
      </c>
      <c r="AA176" s="4">
        <v>0</v>
      </c>
      <c r="AB176" s="4">
        <v>0</v>
      </c>
      <c r="AC176" s="4" t="s">
        <v>454</v>
      </c>
      <c r="AD176" s="4" t="s">
        <v>167</v>
      </c>
      <c r="AE176" s="4">
        <v>1.5</v>
      </c>
      <c r="AF176" s="4">
        <v>60</v>
      </c>
    </row>
    <row r="177" ht="75" spans="1:32">
      <c r="A177" s="4" t="s">
        <v>455</v>
      </c>
      <c r="B177" s="1" t="str">
        <f>_xlfn.DISPIMG("ID_62D69C503BE64FB19C927AB5BADE8D5E",1)</f>
        <v>=DISPIMG("ID_62D69C503BE64FB19C927AB5BADE8D5E",1)</v>
      </c>
      <c r="C177" s="1" t="s">
        <v>453</v>
      </c>
      <c r="D177" s="4">
        <v>81</v>
      </c>
      <c r="E177" s="4">
        <v>0</v>
      </c>
      <c r="F177" s="4">
        <v>0</v>
      </c>
      <c r="G177" s="4">
        <v>0</v>
      </c>
      <c r="H177" s="4">
        <v>0</v>
      </c>
      <c r="I177" s="4">
        <v>110</v>
      </c>
      <c r="J177" s="4" t="s">
        <v>35</v>
      </c>
      <c r="K177" s="4" t="s">
        <v>35</v>
      </c>
      <c r="L177" s="4" t="s">
        <v>35</v>
      </c>
      <c r="M177" s="4" t="s">
        <v>35</v>
      </c>
      <c r="N177" s="4" t="s">
        <v>35</v>
      </c>
      <c r="O177" s="4" t="s">
        <v>35</v>
      </c>
      <c r="P177" s="4" t="s">
        <v>35</v>
      </c>
      <c r="Q177" s="4" t="s">
        <v>35</v>
      </c>
      <c r="R177" s="4">
        <v>30</v>
      </c>
      <c r="S177" s="4">
        <v>0</v>
      </c>
      <c r="T177" s="4">
        <v>0</v>
      </c>
      <c r="U177" s="4" t="s">
        <v>34</v>
      </c>
      <c r="V177" s="4" t="s">
        <v>53</v>
      </c>
      <c r="W177" s="4" t="s">
        <v>35</v>
      </c>
      <c r="X177" s="4" t="s">
        <v>35</v>
      </c>
      <c r="Y177" s="4">
        <v>8</v>
      </c>
      <c r="Z177" s="4">
        <v>18</v>
      </c>
      <c r="AA177" s="4">
        <v>0</v>
      </c>
      <c r="AB177" s="4">
        <v>0</v>
      </c>
      <c r="AC177" s="4" t="s">
        <v>155</v>
      </c>
      <c r="AD177" s="4" t="s">
        <v>456</v>
      </c>
      <c r="AE177" s="4">
        <v>1.5</v>
      </c>
      <c r="AF177" s="4">
        <v>35</v>
      </c>
    </row>
    <row r="178" ht="75" spans="1:32">
      <c r="A178" s="4" t="s">
        <v>457</v>
      </c>
      <c r="B178" s="1" t="str">
        <f>_xlfn.DISPIMG("ID_13DF7D879577481E90C755057555930A",1)</f>
        <v>=DISPIMG("ID_13DF7D879577481E90C755057555930A",1)</v>
      </c>
      <c r="C178" s="1" t="s">
        <v>453</v>
      </c>
      <c r="D178" s="4">
        <v>91</v>
      </c>
      <c r="E178" s="4">
        <v>0</v>
      </c>
      <c r="F178" s="4">
        <v>0</v>
      </c>
      <c r="G178" s="4">
        <v>0</v>
      </c>
      <c r="H178" s="4">
        <v>0</v>
      </c>
      <c r="I178" s="4">
        <v>110</v>
      </c>
      <c r="J178" s="4" t="s">
        <v>35</v>
      </c>
      <c r="K178" s="4" t="s">
        <v>35</v>
      </c>
      <c r="L178" s="4" t="s">
        <v>35</v>
      </c>
      <c r="M178" s="4" t="s">
        <v>35</v>
      </c>
      <c r="N178" s="4" t="s">
        <v>35</v>
      </c>
      <c r="O178" s="4" t="s">
        <v>35</v>
      </c>
      <c r="P178" s="4" t="s">
        <v>35</v>
      </c>
      <c r="Q178" s="4" t="s">
        <v>35</v>
      </c>
      <c r="R178" s="4">
        <v>30</v>
      </c>
      <c r="S178" s="4">
        <v>0</v>
      </c>
      <c r="T178" s="4">
        <v>0</v>
      </c>
      <c r="U178" s="4" t="s">
        <v>34</v>
      </c>
      <c r="V178" s="4" t="s">
        <v>53</v>
      </c>
      <c r="W178" s="4" t="s">
        <v>35</v>
      </c>
      <c r="X178" s="4" t="s">
        <v>35</v>
      </c>
      <c r="Y178" s="4">
        <v>6</v>
      </c>
      <c r="Z178" s="4">
        <v>19</v>
      </c>
      <c r="AA178" s="4">
        <v>0</v>
      </c>
      <c r="AB178" s="4">
        <v>0</v>
      </c>
      <c r="AC178" s="4" t="s">
        <v>458</v>
      </c>
      <c r="AD178" s="4" t="s">
        <v>51</v>
      </c>
      <c r="AE178" s="4">
        <v>3</v>
      </c>
      <c r="AF178" s="4">
        <v>65</v>
      </c>
    </row>
    <row r="179" ht="75" spans="1:32">
      <c r="A179" s="4" t="s">
        <v>459</v>
      </c>
      <c r="B179" s="1" t="str">
        <f>_xlfn.DISPIMG("ID_EE8B9B01C6044791A904AFC35DA71438",1)</f>
        <v>=DISPIMG("ID_EE8B9B01C6044791A904AFC35DA71438",1)</v>
      </c>
      <c r="C179" s="1" t="s">
        <v>460</v>
      </c>
      <c r="D179" s="4">
        <v>91</v>
      </c>
      <c r="E179" s="4">
        <v>0</v>
      </c>
      <c r="F179" s="4">
        <v>0</v>
      </c>
      <c r="G179" s="4">
        <v>0</v>
      </c>
      <c r="H179" s="4">
        <v>0</v>
      </c>
      <c r="I179" s="4">
        <v>100</v>
      </c>
      <c r="J179" s="4" t="s">
        <v>35</v>
      </c>
      <c r="K179" s="4" t="s">
        <v>35</v>
      </c>
      <c r="L179" s="4" t="s">
        <v>35</v>
      </c>
      <c r="M179" s="4" t="s">
        <v>35</v>
      </c>
      <c r="N179" s="4" t="s">
        <v>35</v>
      </c>
      <c r="O179" s="4" t="s">
        <v>35</v>
      </c>
      <c r="P179" s="4" t="s">
        <v>35</v>
      </c>
      <c r="Q179" s="4" t="s">
        <v>35</v>
      </c>
      <c r="R179" s="4">
        <v>0</v>
      </c>
      <c r="S179" s="4">
        <v>0</v>
      </c>
      <c r="T179" s="4">
        <v>0</v>
      </c>
      <c r="U179" s="4" t="s">
        <v>43</v>
      </c>
      <c r="V179" s="4" t="s">
        <v>43</v>
      </c>
      <c r="W179" s="4" t="s">
        <v>35</v>
      </c>
      <c r="X179" s="4" t="s">
        <v>35</v>
      </c>
      <c r="Y179" s="4">
        <v>5</v>
      </c>
      <c r="Z179" s="4">
        <v>8</v>
      </c>
      <c r="AA179" s="4">
        <v>0</v>
      </c>
      <c r="AB179" s="4">
        <v>0</v>
      </c>
      <c r="AC179" s="4" t="s">
        <v>213</v>
      </c>
      <c r="AD179" s="4" t="s">
        <v>38</v>
      </c>
      <c r="AE179" s="4">
        <v>0.5</v>
      </c>
      <c r="AF179" s="4">
        <v>60</v>
      </c>
    </row>
    <row r="180" ht="75" spans="1:32">
      <c r="A180" s="4" t="s">
        <v>461</v>
      </c>
      <c r="B180" s="1" t="str">
        <f>_xlfn.DISPIMG("ID_B105F465F77A453AA3445E5186E63722",1)</f>
        <v>=DISPIMG("ID_B105F465F77A453AA3445E5186E63722",1)</v>
      </c>
      <c r="C180" s="1" t="s">
        <v>460</v>
      </c>
      <c r="D180" s="4">
        <v>111</v>
      </c>
      <c r="E180" s="4">
        <v>0</v>
      </c>
      <c r="F180" s="4">
        <v>77</v>
      </c>
      <c r="G180" s="4">
        <v>0</v>
      </c>
      <c r="H180" s="4">
        <v>0</v>
      </c>
      <c r="I180" s="4">
        <v>100</v>
      </c>
      <c r="J180" s="4" t="s">
        <v>35</v>
      </c>
      <c r="K180" s="4" t="s">
        <v>35</v>
      </c>
      <c r="L180" s="4" t="s">
        <v>35</v>
      </c>
      <c r="M180" s="4" t="s">
        <v>35</v>
      </c>
      <c r="N180" s="4" t="s">
        <v>35</v>
      </c>
      <c r="O180" s="4" t="s">
        <v>35</v>
      </c>
      <c r="P180" s="4" t="s">
        <v>35</v>
      </c>
      <c r="Q180" s="4" t="s">
        <v>35</v>
      </c>
      <c r="R180" s="4">
        <v>0</v>
      </c>
      <c r="S180" s="4">
        <v>0</v>
      </c>
      <c r="T180" s="4">
        <v>0</v>
      </c>
      <c r="U180" s="4" t="s">
        <v>43</v>
      </c>
      <c r="V180" s="4" t="s">
        <v>35</v>
      </c>
      <c r="W180" s="4" t="s">
        <v>34</v>
      </c>
      <c r="X180" s="4" t="s">
        <v>34</v>
      </c>
      <c r="Y180" s="4">
        <v>20</v>
      </c>
      <c r="Z180" s="4">
        <v>8</v>
      </c>
      <c r="AA180" s="4">
        <v>9</v>
      </c>
      <c r="AB180" s="4">
        <v>9</v>
      </c>
      <c r="AC180" s="4" t="s">
        <v>462</v>
      </c>
      <c r="AD180" s="4" t="s">
        <v>463</v>
      </c>
      <c r="AE180" s="4">
        <v>5.5</v>
      </c>
      <c r="AF180" s="4">
        <v>100</v>
      </c>
    </row>
    <row r="181" ht="75" spans="1:32">
      <c r="A181" s="4" t="s">
        <v>464</v>
      </c>
      <c r="B181" s="1" t="str">
        <f>_xlfn.DISPIMG("ID_B30F0D05D45947728BD1D2442D683B22",1)</f>
        <v>=DISPIMG("ID_B30F0D05D45947728BD1D2442D683B22",1)</v>
      </c>
      <c r="C181" s="1" t="s">
        <v>460</v>
      </c>
      <c r="D181" s="4">
        <v>88</v>
      </c>
      <c r="E181" s="4">
        <v>0</v>
      </c>
      <c r="F181" s="4">
        <v>0</v>
      </c>
      <c r="G181" s="4">
        <v>0</v>
      </c>
      <c r="H181" s="4">
        <v>150</v>
      </c>
      <c r="I181" s="4">
        <v>100</v>
      </c>
      <c r="J181" s="4" t="s">
        <v>35</v>
      </c>
      <c r="K181" s="4" t="s">
        <v>35</v>
      </c>
      <c r="L181" s="4">
        <v>65</v>
      </c>
      <c r="M181" s="4">
        <v>65</v>
      </c>
      <c r="N181" s="4">
        <v>65</v>
      </c>
      <c r="O181" s="4">
        <v>65</v>
      </c>
      <c r="P181" s="4">
        <v>65</v>
      </c>
      <c r="Q181" s="4">
        <v>30</v>
      </c>
      <c r="R181" s="4">
        <v>0</v>
      </c>
      <c r="S181" s="4">
        <v>0</v>
      </c>
      <c r="T181" s="4">
        <v>0</v>
      </c>
      <c r="U181" s="4" t="s">
        <v>53</v>
      </c>
      <c r="V181" s="4" t="s">
        <v>53</v>
      </c>
      <c r="W181" s="4" t="s">
        <v>43</v>
      </c>
      <c r="X181" s="4" t="s">
        <v>43</v>
      </c>
      <c r="Y181" s="4">
        <v>0</v>
      </c>
      <c r="Z181" s="4">
        <v>0</v>
      </c>
      <c r="AA181" s="4">
        <v>0</v>
      </c>
      <c r="AB181" s="4">
        <v>0</v>
      </c>
      <c r="AC181" s="4" t="s">
        <v>465</v>
      </c>
      <c r="AD181" s="4" t="s">
        <v>87</v>
      </c>
      <c r="AE181" s="4">
        <v>0</v>
      </c>
      <c r="AF181" s="4">
        <v>55</v>
      </c>
    </row>
  </sheetData>
  <hyperlinks>
    <hyperlink ref="A4" r:id="rId2" display="匕首" tooltip="/dark_souls_3/baike3013?wid=736"/>
    <hyperlink ref="AC4" r:id="rId3" display="碎步" tooltip="/dark_souls_3/item12134?wid=736"/>
    <hyperlink ref="A5" r:id="rId4" display="盗贼短刀" tooltip="/dark_souls_3/baike3014?wid=736"/>
    <hyperlink ref="AC5" r:id="rId3" display="碎步" tooltip="/dark_souls_3/item12134?wid=736"/>
    <hyperlink ref="A6" r:id="rId5" display="格挡匕首" tooltip="/dark_souls_3/baike3015?wid=736"/>
    <hyperlink ref="AC6" r:id="rId6" display="格挡" tooltip="/dark_souls_3/item12135?wid=736"/>
    <hyperlink ref="A7" r:id="rId7" display="咕鲁腐败短刀" tooltip="/dark_souls_3/baike3016?wid=736"/>
    <hyperlink ref="AC7" r:id="rId3" display="碎步" tooltip="/dark_souls_3/item12134?wid=736"/>
    <hyperlink ref="A8" r:id="rId8" display="镰刀剑" tooltip="/dark_souls_3/baike3017?wid=736"/>
    <hyperlink ref="AC8" r:id="rId3" display="碎步" tooltip="/dark_souls_3/item12134?wid=736"/>
    <hyperlink ref="A9" r:id="rId9" display="贤者烛台" tooltip="/dark_souls_3/baike3018?wid=736"/>
    <hyperlink ref="AC9" r:id="rId10" display="引导的灯火" tooltip="/dark_souls_3/item12136?wid=736"/>
    <hyperlink ref="A10" r:id="rId11" display="尾骨短剑" tooltip="/dark_souls_3/baike3019?wid=736"/>
    <hyperlink ref="AC10" r:id="rId12" display="龙的力量" tooltip="/dark_souls_3/item12137?wid=736"/>
    <hyperlink ref="A11" r:id="rId13" display="鸦人大短刀" tooltip="/dark_souls_3/baike3020?wid=736"/>
    <hyperlink ref="AC11" r:id="rId14" display="死角一击" tooltip="/dark_souls_3/item12138?wid=736"/>
    <hyperlink ref="A12" r:id="rId15" display="侍女短剑" tooltip="/dark_souls_3/baike3021?wid=736"/>
    <hyperlink ref="AC12" r:id="rId14" display="死角一击" tooltip="/dark_souls_3/item12138?wid=736"/>
    <hyperlink ref="A13" r:id="rId16" display="破甲细剑" tooltip="/dark_souls_3/baike3037?wid=736"/>
    <hyperlink ref="AC13" r:id="rId17" display="贯穿" tooltip="/dark_souls_3/item12143?wid=736"/>
    <hyperlink ref="A14" r:id="rId18" display="成对山贼短刀" tooltip="/dark_souls_3/baike3185?wid=736"/>
    <hyperlink ref="AC14" r:id="rId3" display="碎步" tooltip="/dark_souls_3/item12134?wid=736"/>
    <hyperlink ref="A15" r:id="rId19" display="蓝宝珠短剑" tooltip="/dark_souls_3/baike3264?wid=736"/>
    <hyperlink ref="AC15" r:id="rId20" display="结晶刀刃" tooltip="/dark_souls_3/item12222?wid=736"/>
    <hyperlink ref="A16" r:id="rId21" display="濡湿小镰刀" tooltip="/dark_souls_3/baike3265?wid=736"/>
    <hyperlink ref="AC16" r:id="rId3" display="碎步" tooltip="/dark_souls_3/item12134?wid=736"/>
    <hyperlink ref="A17" r:id="rId22" display="短剑" tooltip="/dark_souls_3/baike3022?wid=737"/>
    <hyperlink ref="AC17" r:id="rId23" display="准备攻击" tooltip="/dark_souls_3/item12139?wid=737"/>
    <hyperlink ref="A18" r:id="rId24" display="长剑" tooltip="/dark_souls_3/baike3023?wid=737"/>
    <hyperlink ref="AC18" r:id="rId23" display="准备攻击" tooltip="/dark_souls_3/item12139?wid=737"/>
    <hyperlink ref="A19" r:id="rId25" display="阔剑" tooltip="/dark_souls_3/baike3024?wid=737"/>
    <hyperlink ref="AC19" r:id="rId23" display="准备攻击" tooltip="/dark_souls_3/item12139?wid=737"/>
    <hyperlink ref="A20" r:id="rId26" display="已折断的直剑" tooltip="/dark_souls_3/baike3025?wid=737"/>
    <hyperlink ref="AC20" r:id="rId23" display="准备攻击" tooltip="/dark_souls_3/item12139?wid=737"/>
    <hyperlink ref="A21" r:id="rId27" display="洛斯里克骑士剑" tooltip="/dark_souls_3/baike3026?wid=737"/>
    <hyperlink ref="AC21" r:id="rId23" display="准备攻击" tooltip="/dark_souls_3/item12139?wid=737"/>
    <hyperlink ref="A22" r:id="rId28" display="太阳直剑" tooltip="/dark_souls_3/baike3027?wid=737"/>
    <hyperlink ref="AC22" r:id="rId29" display="太阳誓言" tooltip="/dark_souls_3/item12140?wid=737"/>
    <hyperlink ref="A23" r:id="rId30" display="伊鲁席尔直剑" tooltip="/dark_souls_3/baike3029?wid=737"/>
    <hyperlink ref="AC23" r:id="rId23" display="准备攻击" tooltip="/dark_souls_3/item12139?wid=737"/>
    <hyperlink ref="A24" r:id="rId31" display="圣者烛台" tooltip="/dark_souls_3/baike3030?wid=737"/>
    <hyperlink ref="AC24" r:id="rId32" display="引导的灯火" tooltip="/dark_souls_3/item12136?wid=737"/>
    <hyperlink ref="A25" r:id="rId33" display="摩利安刃剑" tooltip="/dark_souls_3/baike3031?wid=737"/>
    <hyperlink ref="AC25" r:id="rId23" display="准备攻击" tooltip="/dark_souls_3/item12139?wid=737"/>
    <hyperlink ref="A26" r:id="rId34" display="亚斯特拉直剑" tooltip="/dark_souls_3/baike3032?wid=737"/>
    <hyperlink ref="AC26" r:id="rId23" display="准备攻击" tooltip="/dark_souls_3/item12139?wid=737"/>
    <hyperlink ref="A27" r:id="rId35" display="刺针直剑" tooltip="/dark_souls_3/baike3033?wid=737"/>
    <hyperlink ref="AC27" r:id="rId23" display="准备攻击" tooltip="/dark_souls_3/item12139?wid=737"/>
    <hyperlink ref="A28" r:id="rId36" display="安里的直剑" tooltip="/dark_souls_3/baike3035?wid=737"/>
    <hyperlink ref="AC28" r:id="rId23" display="准备攻击" tooltip="/dark_souls_3/item12139?wid=737"/>
    <hyperlink ref="A29" r:id="rId37" display="黑暗剑" tooltip="/dark_souls_3/baike3073?wid=737"/>
    <hyperlink ref="AC29" r:id="rId38" display="箭步" tooltip="/dark_souls_3/item12142?wid=737"/>
    <hyperlink ref="A30" r:id="rId39" display="洛斯里克圣剑" tooltip="/dark_souls_3/baike3077?wid=737"/>
    <hyperlink ref="AC30" r:id="rId40" display="洛斯里克的圣光" tooltip="/dark_souls_3/item12159?wid=737"/>
    <hyperlink ref="A31" r:id="rId41" display="歌德希尔特对剑" tooltip="/dark_souls_3/baike3186?wid=737"/>
    <hyperlink ref="AC31" r:id="rId42" display="回旋斩" tooltip="/dark_souls_3/item12141?wid=737"/>
    <hyperlink ref="A32" r:id="rId43" display="果敢心" tooltip="/dark_souls_3/baike3259?wid=737"/>
    <hyperlink ref="AC32" r:id="rId44" display="狮子的攻势" tooltip="/dark_souls_3/item12219?wid=737"/>
    <hyperlink ref="A33" r:id="rId45" display="环印骑士直剑" tooltip="/dark_souls_3/baike3266?wid=737"/>
    <hyperlink ref="AC33" r:id="rId46" display="余火" tooltip="/dark_souls_3/item12163?wid=737"/>
    <hyperlink ref="A34" r:id="rId47" display="处刑者大剑" tooltip="/dark_souls_3/baike3034?wid=738"/>
    <hyperlink ref="AC34" r:id="rId48" display="箭步" tooltip="/dark_souls_3/item12142?wid=738"/>
    <hyperlink ref="A35" r:id="rId49" display="混种大剑" tooltip="/dark_souls_3/baike3058?wid=738"/>
    <hyperlink ref="AC35" r:id="rId48" display="箭步" tooltip="/dark_souls_3/item12142?wid=738"/>
    <hyperlink ref="A36" r:id="rId50" display="大剑" tooltip="/dark_souls_3/baike3059?wid=738"/>
    <hyperlink ref="AC36" r:id="rId51" display="准备攻击" tooltip="/dark_souls_3/item12139?wid=738"/>
    <hyperlink ref="A37" r:id="rId52" display="焰形大剑" tooltip="/dark_souls_3/baike3066?wid=738"/>
    <hyperlink ref="AC37" r:id="rId51" display="准备攻击" tooltip="/dark_souls_3/item12139?wid=738"/>
    <hyperlink ref="A38" r:id="rId53" display="制裁大剑" tooltip="/dark_souls_3/baike3068?wid=738"/>
    <hyperlink ref="AC38" r:id="rId54" display="制裁架势" tooltip="/dark_souls_3/item12153?wid=738"/>
    <hyperlink ref="A39" r:id="rId55" display="黑骑士剑" tooltip="/dark_souls_3/baike3074?wid=738"/>
    <hyperlink ref="AC39" r:id="rId56" display="忍耐" tooltip="/dark_souls_3/item12156?wid=738"/>
    <hyperlink ref="A40" r:id="rId57" display="孪生王子大剑" tooltip="/dark_souls_3/baike3076?wid=738"/>
    <hyperlink ref="AC40" r:id="rId58" display="圣光与火焰" tooltip="/dark_souls_3/item12158?wid=738"/>
    <hyperlink ref="A41" r:id="rId59" display="沃尼尔圣剑" tooltip="/dark_souls_3/baike3078?wid=738"/>
    <hyperlink ref="AC41" r:id="rId60" display="神怒" tooltip="/dark_souls_3/item12160?wid=738"/>
    <hyperlink ref="A42" r:id="rId61" display="狼骑士大剑" tooltip="/dark_souls_3/baike3079?wid=738"/>
    <hyperlink ref="AC42" r:id="rId62" display="狼剑术" tooltip="/dark_souls_3/item12161?wid=738"/>
    <hyperlink ref="A43" r:id="rId63" display="猎杀游魂大剑" tooltip="/dark_souls_3/baike3080?wid=738"/>
    <hyperlink ref="AC43" r:id="rId51" display="准备攻击" tooltip="/dark_souls_3/item12139?wid=738"/>
    <hyperlink ref="A44" r:id="rId64" display="月光大剑" tooltip="/dark_souls_3/baike3081?wid=738"/>
    <hyperlink ref="AC44" r:id="rId65" display="月光激流" tooltip="/dark_souls_3/item12162?wid=738"/>
    <hyperlink ref="A45" r:id="rId66" display="龙血大剑" tooltip="/dark_souls_3/baike3082?wid=738"/>
    <hyperlink ref="AC45" r:id="rId51" display="准备攻击" tooltip="/dark_souls_3/item12139?wid=738"/>
    <hyperlink ref="A46" r:id="rId67" display="传火大剑" tooltip="/dark_souls_3/baike3083?wid=738"/>
    <hyperlink ref="AC46" r:id="rId68" display="余火" tooltip="/dark_souls_3/item12163?wid=738"/>
    <hyperlink ref="A47" r:id="rId69" display="风暴管束者" tooltip="/dark_souls_3/baike3086?wid=738"/>
    <hyperlink ref="AC47" r:id="rId70" display="风暴之王" tooltip="/dark_souls_3/item12165?wid=738"/>
    <hyperlink ref="A48" r:id="rId71" display="缟玛瑙刃剑" tooltip="/dark_souls_3/baike3249?wid=738"/>
    <hyperlink ref="AC48" r:id="rId72" display="艾尔芙莉德的黑焰" tooltip="/dark_souls_3/item12209?wid=738"/>
    <hyperlink ref="A49" r:id="rId73" display="盖尔大剑" tooltip="/dark_souls_3/baike3267?wid=738"/>
    <hyperlink ref="AC49" r:id="rId74" display="舍身剑" tooltip="/dark_souls_3/item12223?wid=738"/>
    <hyperlink ref="A50" r:id="rId75" display="双手巨剑" tooltip="/dark_souls_3/baike3060?wid=739"/>
    <hyperlink ref="AC50" r:id="rId76" display="箭步" tooltip="/dark_souls_3/item12142?wid=739"/>
    <hyperlink ref="A51" r:id="rId77" display="巨剑" tooltip="/dark_souls_3/baike3061?wid=739"/>
    <hyperlink ref="AC51" r:id="rId76" display="箭步" tooltip="/dark_souls_3/item12142?wid=739"/>
    <hyperlink ref="A52" r:id="rId78" display="亚斯特拉大剑" tooltip="/dark_souls_3/baike3062?wid=739"/>
    <hyperlink ref="AC52" r:id="rId79" display="突击" tooltip="/dark_souls_3/item12152?wid=739"/>
    <hyperlink ref="A53" r:id="rId80" display="洛斯里克骑士大剑" tooltip="/dark_souls_3/baike3064?wid=739"/>
    <hyperlink ref="AC53" r:id="rId76" display="箭步" tooltip="/dark_souls_3/item12142?wid=739"/>
    <hyperlink ref="A54" r:id="rId81" display="黑骑士大剑" tooltip="/dark_souls_3/baike3065?wid=739"/>
    <hyperlink ref="AC54" r:id="rId76" display="箭步" tooltip="/dark_souls_3/item12142?wid=739"/>
    <hyperlink ref="A55" r:id="rId82" display="罪业大剑" tooltip="/dark_souls_3/baike3069?wid=739"/>
    <hyperlink ref="AC55" r:id="rId83" display="罪业火焰" tooltip="/dark_souls_3/item12154?wid=739"/>
    <hyperlink ref="A56" r:id="rId84" display="教堂骑士大剑" tooltip="/dark_souls_3/baike3070?wid=739"/>
    <hyperlink ref="AC56" r:id="rId76" display="箭步" tooltip="/dark_souls_3/item12142?wid=739"/>
    <hyperlink ref="A57" r:id="rId85" display="法兰大剑" tooltip="/dark_souls_3/baike3071?wid=739"/>
    <hyperlink ref="AC57" r:id="rId86" display="格挡" tooltip="/dark_souls_3/item12135?wid=739"/>
    <hyperlink ref="A58" r:id="rId87" display="洛里安大剑" tooltip="/dark_souls_3/baike3075?wid=739"/>
    <hyperlink ref="AC58" r:id="rId88" display="洛里安的火焰" tooltip="/dark_souls_3/item12157?wid=739"/>
    <hyperlink ref="A59" r:id="rId89" display="漫烟特大剑" tooltip="/dark_souls_3/baike3084?wid=739"/>
    <hyperlink ref="AC59" r:id="rId76" display="箭步" tooltip="/dark_souls_3/item12142?wid=739"/>
    <hyperlink ref="A60" r:id="rId90" display="环印骑士成对大剑" tooltip="/dark_souls_3/baike3280?wid=739"/>
    <hyperlink ref="AC60" r:id="rId91" display="余火" tooltip="/dark_souls_3/item12163?wid=739"/>
    <hyperlink ref="A61" r:id="rId92" display="咕鲁腐败曲刀" tooltip="/dark_souls_3/baike3028?wid=740"/>
    <hyperlink ref="AC61" r:id="rId93" display="回旋斩" tooltip="/dark_souls_3/item12141?wid=740"/>
    <hyperlink ref="A62" r:id="rId94" display="钩剑" tooltip="/dark_souls_3/baike3042?wid=740"/>
    <hyperlink ref="AC62" r:id="rId93" display="回旋斩" tooltip="/dark_souls_3/item12141?wid=740"/>
    <hyperlink ref="A63" r:id="rId95" display="短弯刀" tooltip="/dark_souls_3/baike3043?wid=740"/>
    <hyperlink ref="AC63" r:id="rId93" display="回旋斩" tooltip="/dark_souls_3/item12141?wid=740"/>
    <hyperlink ref="A64" r:id="rId96" display="弯刃大刀" tooltip="/dark_souls_3/baike3044?wid=740"/>
    <hyperlink ref="AC64" r:id="rId93" display="回旋斩" tooltip="/dark_souls_3/item12141?wid=740"/>
    <hyperlink ref="A65" r:id="rId97" display="卡萨斯曲刀" tooltip="/dark_souls_3/baike3045?wid=740"/>
    <hyperlink ref="AC65" r:id="rId93" display="回旋斩" tooltip="/dark_souls_3/item12141?wid=740"/>
    <hyperlink ref="A66" r:id="rId98" display="教宗骑士曲剑" tooltip="/dark_souls_3/baike3047?wid=740"/>
    <hyperlink ref="AC66" r:id="rId99" display="寒气刀刃" tooltip="/dark_souls_3/item12145?wid=740"/>
    <hyperlink ref="A67" r:id="rId100" display="风暴曲剑" tooltip="/dark_souls_3/baike3048?wid=740"/>
    <hyperlink ref="AC67" r:id="rId101" display="龙卷风" tooltip="/dark_souls_3/item12146?wid=740"/>
    <hyperlink ref="A68" r:id="rId102" display="绘画使者曲剑" tooltip="/dark_souls_3/baike3049?wid=740"/>
    <hyperlink ref="AC68" r:id="rId103" display="舞动连击" tooltip="/dark_souls_3/item12147?wid=740"/>
    <hyperlink ref="A69" r:id="rId104" display="月牙曲剑" tooltip="/dark_souls_3/baike3050?wid=740"/>
    <hyperlink ref="AC69" r:id="rId105" display="月牙刀刃" tooltip="/dark_souls_3/item12148?wid=740"/>
    <hyperlink ref="A70" r:id="rId106" display="卡萨斯钩剑" tooltip="/dark_souls_3/baike3051?wid=740"/>
    <hyperlink ref="AC70" r:id="rId93" display="回旋斩" tooltip="/dark_souls_3/item12141?wid=740"/>
    <hyperlink ref="A71" r:id="rId107" display="佣兵对刀" tooltip="/dark_souls_3/baike3180?wid=740"/>
    <hyperlink ref="AC71" r:id="rId93" display="回旋斩" tooltip="/dark_souls_3/item12141?wid=740"/>
    <hyperlink ref="A72" r:id="rId108" display="守墓人对刀" tooltip="/dark_souls_3/baike3181?wid=740"/>
    <hyperlink ref="AC72" r:id="rId93" display="回旋斩" tooltip="/dark_souls_3/item12141?wid=740"/>
    <hyperlink ref="A73" r:id="rId109" display="成对舞娘魔剑" tooltip="/dark_souls_3/baike3183?wid=740"/>
    <hyperlink ref="AC73" r:id="rId110" display="舞娘之舞" tooltip="/dark_souls_3/item12200?wid=740"/>
    <hyperlink ref="A74" r:id="rId111" display="幽魂军刀" tooltip="/dark_souls_3/baike3250?wid=740"/>
    <hyperlink ref="AC74" r:id="rId112" display="溃防连击" tooltip="/dark_souls_3/item12210?wid=740"/>
    <hyperlink ref="A75" r:id="rId113" display="恶魔爪痕" tooltip="/dark_souls_3/baike3268?wid=740"/>
    <hyperlink ref="AC75" r:id="rId93" display="回旋斩" tooltip="/dark_souls_3/item12141?wid=740"/>
    <hyperlink ref="A76" r:id="rId114" display="卡萨斯大曲刀" tooltip="/dark_souls_3/baike3046?wid=741"/>
    <hyperlink ref="AC76" r:id="rId115" display="回旋斩" tooltip="/dark_souls_3/item12141?wid=741"/>
    <hyperlink ref="A77" r:id="rId116" display="丛云" tooltip="/dark_souls_3/baike3063?wid=741"/>
    <hyperlink ref="AC77" r:id="rId115" display="回旋斩" tooltip="/dark_souls_3/item12141?wid=741"/>
    <hyperlink ref="A78" r:id="rId117" display="流放者大刀" tooltip="/dark_souls_3/baike3067?wid=741"/>
    <hyperlink ref="AC78" r:id="rId115" display="回旋斩" tooltip="/dark_souls_3/item12141?wid=741"/>
    <hyperlink ref="A79" r:id="rId118" display="老狼曲剑" tooltip="/dark_souls_3/baike3085?wid=741"/>
    <hyperlink ref="AC79" r:id="rId119" display="狼跳跃" tooltip="/dark_souls_3/item12164?wid=741"/>
    <hyperlink ref="A80" r:id="rId120" display="哈兰得大曲剑" tooltip="/dark_souls_3/baike3270?wid=741"/>
    <hyperlink ref="AC80" r:id="rId121" display="斩断" tooltip="/dark_souls_3/item12224?wid=741"/>
    <hyperlink ref="A81" r:id="rId122" display="刺剑" tooltip="/dark_souls_3/baike3036?wid=742"/>
    <hyperlink ref="AC81" r:id="rId123" display="贯穿" tooltip="/dark_souls_3/item12143?wid=742"/>
    <hyperlink ref="A82" r:id="rId124" display="细剑" tooltip="/dark_souls_3/baike3038?wid=742"/>
    <hyperlink ref="AC82" r:id="rId125" display="准备攻击" tooltip="/dark_souls_3/item12139?wid=742"/>
    <hyperlink ref="A83" r:id="rId126" display="里卡尔刺剑" tooltip="/dark_souls_3/baike3039?wid=742"/>
    <hyperlink ref="AC83" r:id="rId127" display="里卡尔连击" tooltip="/dark_souls_3/item12144?wid=742"/>
    <hyperlink ref="A84" r:id="rId128" display="结晶老者刺剑" tooltip="/dark_souls_3/baike3040?wid=742"/>
    <hyperlink ref="AC84" r:id="rId125" display="准备攻击" tooltip="/dark_souls_3/item12139?wid=742"/>
    <hyperlink ref="A85" r:id="rId129" display="伊鲁席尔刺剑" tooltip="/dark_souls_3/baike3041?wid=742"/>
    <hyperlink ref="AC85" r:id="rId123" display="贯穿" tooltip="/dark_souls_3/item12143?wid=742"/>
    <hyperlink ref="A86" r:id="rId130" display="鸦羽" tooltip="/dark_souls_3/baike3260?wid=742"/>
    <hyperlink ref="AC86" r:id="rId131" display="掷羽" tooltip="/dark_souls_3/item12220?wid=742"/>
    <hyperlink ref="A87" r:id="rId132" display="打刀" tooltip="/dark_souls_3/baike3052?wid=743"/>
    <hyperlink ref="AC87" r:id="rId133" display="居合" tooltip="/dark_souls_3/item12149?wid=743"/>
    <hyperlink ref="A88" r:id="rId134" display="晾衣长刀" tooltip="/dark_souls_3/baike3053?wid=743"/>
    <hyperlink ref="AC88" r:id="rId133" display="居合" tooltip="/dark_souls_3/item12149?wid=743"/>
    <hyperlink ref="A89" r:id="rId135" display="混沌刀刃" tooltip="/dark_souls_3/baike3054?wid=743"/>
    <hyperlink ref="AC89" r:id="rId133" display="居合" tooltip="/dark_souls_3/item12149?wid=743"/>
    <hyperlink ref="A90" r:id="rId136" display="黑刀" tooltip="/dark_souls_3/baike3055?wid=743"/>
    <hyperlink ref="AC90" r:id="rId133" display="居合" tooltip="/dark_souls_3/item12149?wid=743"/>
    <hyperlink ref="A91" r:id="rId137" display="血癫狂" tooltip="/dark_souls_3/baike3056?wid=743"/>
    <hyperlink ref="AC91" r:id="rId138" display="血癫狂" tooltip="/dark_souls_3/item12150?wid=743"/>
    <hyperlink ref="A92" r:id="rId139" display="暗胧" tooltip="/dark_souls_3/baike3057?wid=743"/>
    <hyperlink ref="AC92" r:id="rId140" display="暗胧" tooltip="/dark_souls_3/item12151?wid=743"/>
    <hyperlink ref="A93" r:id="rId141" display="鬼切与姥断" tooltip="/dark_souls_3/baike3187?wid=743"/>
    <hyperlink ref="AC93" r:id="rId142" display="鬼切" tooltip="/dark_souls_3/item12201?wid=743"/>
    <hyperlink ref="A94" r:id="rId143" display="破碎刀" tooltip="/dark_souls_3/baike3269?wid=743"/>
    <hyperlink ref="AC94" r:id="rId133" display="居合" tooltip="/dark_souls_3/item12149?wid=743"/>
    <hyperlink ref="A95" r:id="rId144" display="手斧" tooltip="/dark_souls_3/baike3087?wid=744"/>
    <hyperlink ref="AC95" r:id="rId145" display="战吼" tooltip="/dark_souls_3/item12155?wid=744"/>
    <hyperlink ref="A96" r:id="rId146" display="战斧" tooltip="/dark_souls_3/baike3088?wid=744"/>
    <hyperlink ref="AC96" r:id="rId145" display="战吼" tooltip="/dark_souls_3/item12155?wid=744"/>
    <hyperlink ref="A97" r:id="rId147" display="山贼斧" tooltip="/dark_souls_3/baike3089?wid=744"/>
    <hyperlink ref="AC97" r:id="rId145" display="战吼" tooltip="/dark_souls_3/item12155?wid=744"/>
    <hyperlink ref="A98" r:id="rId148" display="切肉菜刀" tooltip="/dark_souls_3/baike3092?wid=744"/>
    <hyperlink ref="AC98" r:id="rId149" display="磨刀" tooltip="/dark_souls_3/item12166?wid=744"/>
    <hyperlink ref="A99" r:id="rId150" display="屠龙斧" tooltip="/dark_souls_3/baike3093?wid=744"/>
    <hyperlink ref="AC99" r:id="rId145" display="战吼" tooltip="/dark_souls_3/item12155?wid=744"/>
    <hyperlink ref="A100" r:id="rId151" display="奴隶手斧" tooltip="/dark_souls_3/baike3094?wid=744"/>
    <hyperlink ref="AC100" r:id="rId152" display="碎步" tooltip="/dark_souls_3/item12134?wid=744"/>
    <hyperlink ref="A101" r:id="rId153" display="艾莲诺拉" tooltip="/dark_souls_3/baike3097?wid=744"/>
    <hyperlink ref="AC101" r:id="rId154" display="食粮钟" tooltip="/dark_souls_3/item12169?wid=744"/>
    <hyperlink ref="A102" r:id="rId155" display="蛇人柴刀" tooltip="/dark_souls_3/baike3098?wid=744"/>
    <hyperlink ref="AC102" r:id="rId145" display="战吼" tooltip="/dark_souls_3/item12155?wid=744"/>
    <hyperlink ref="A103" r:id="rId156" display="羽翼骑士断头斧" tooltip="/dark_souls_3/baike3182?wid=744"/>
    <hyperlink ref="AC103" r:id="rId157" display="连续回转" tooltip="/dark_souls_3/item12182?wid=744"/>
    <hyperlink ref="A104" r:id="rId158" display="米尔伍德战斧" tooltip="/dark_souls_3/baike3251?wid=744"/>
    <hyperlink ref="AC104" r:id="rId145" display="战吼" tooltip="/dark_souls_3/item12155?wid=744"/>
    <hyperlink ref="A111" r:id="rId159" display="追地者" tooltip="/dark_souls_3/baike3252?wid=745"/>
    <hyperlink ref="AC110" r:id="rId160" display="磨刀" tooltip="/dark_souls_3/item12166?wid=745"/>
    <hyperlink ref="A110" r:id="rId161" display="大柴刀" tooltip="/dark_souls_3/baike3184?wid=745"/>
    <hyperlink ref="AC109" r:id="rId162" display="战吼" tooltip="/dark_souls_3/item12155?wid=745"/>
    <hyperlink ref="A109" r:id="rId163" display="黑骑士大斧" tooltip="/dark_souls_3/baike3139?wid=745"/>
    <hyperlink ref="AC108" r:id="rId164" display="恶魔一击" tooltip="/dark_souls_3/item12168?wid=745"/>
    <hyperlink ref="A108" r:id="rId165" display="恶魔大斧" tooltip="/dark_souls_3/baike3096?wid=745"/>
    <hyperlink ref="AC107" r:id="rId166" display="落雷" tooltip="/dark_souls_3/item12167?wid=745"/>
    <hyperlink ref="A107" r:id="rId167" display="猎龙大斧" tooltip="/dark_souls_3/baike3095?wid=745"/>
    <hyperlink ref="AC106" r:id="rId162" display="战吼" tooltip="/dark_souls_3/item12155?wid=745"/>
    <hyperlink ref="A106" r:id="rId168" display="巨斧" tooltip="/dark_souls_3/baike3091?wid=745"/>
    <hyperlink ref="AC105" r:id="rId162" display="战吼" tooltip="/dark_souls_3/item12155?wid=745"/>
    <hyperlink ref="A105" r:id="rId169" display="尤姆大柴刀" tooltip="/dark_souls_3/baike3072?wid=745"/>
    <hyperlink ref="AC111" r:id="rId170" display="大地震怒" tooltip="/dark_souls_3/item12211?wid=745"/>
    <hyperlink ref="A112" r:id="rId171" display="棍棒" tooltip="/dark_souls_3/baike3099?wid=746"/>
    <hyperlink ref="AC112" r:id="rId172" display="战吼" tooltip="/dark_souls_3/item12155?wid=746"/>
    <hyperlink ref="A113" r:id="rId173" display="锤矛" tooltip="/dark_souls_3/baike3100?wid=746"/>
    <hyperlink ref="AC113" r:id="rId174" display="忍耐" tooltip="/dark_souls_3/item12156?wid=746"/>
    <hyperlink ref="A114" r:id="rId175" display="朝星锤" tooltip="/dark_souls_3/baike3101?wid=746"/>
    <hyperlink ref="AC114" r:id="rId174" display="忍耐" tooltip="/dark_souls_3/item12156?wid=746"/>
    <hyperlink ref="A115" r:id="rId176" display="强化棍棒" tooltip="/dark_souls_3/baike3102?wid=746"/>
    <hyperlink ref="AC115" r:id="rId172" display="战吼" tooltip="/dark_souls_3/item12155?wid=746"/>
    <hyperlink ref="A116" r:id="rId177" display="海泽儿的十字镐" tooltip="/dark_souls_3/baike3110?wid=746"/>
    <hyperlink ref="AC116" r:id="rId178" display="增幅咏唱" tooltip="/dark_souls_3/item12173?wid=746"/>
    <hyperlink ref="A117" r:id="rId179" display="战镐" tooltip="/dark_souls_3/baike3111?wid=746"/>
    <hyperlink ref="AC117" r:id="rId180" display="一鼓作气" tooltip="/dark_souls_3/item12174?wid=746"/>
    <hyperlink ref="A118" r:id="rId181" display="铁匠铁锤" tooltip="/dark_souls_3/baike3115?wid=746"/>
    <hyperlink ref="AC118" r:id="rId174" display="忍耐" tooltip="/dark_souls_3/item12156?wid=746"/>
    <hyperlink ref="A119" r:id="rId182" display="多兰对槌" tooltip="/dark_souls_3/baike3189?wid=746"/>
    <hyperlink ref="AC119" r:id="rId183" display="回旋殴击" tooltip="/dark_souls_3/item12170?wid=746"/>
    <hyperlink ref="A120" r:id="rId184" display="大型棍棒" tooltip="/dark_souls_3/baike3103?wid=747"/>
    <hyperlink ref="AC120" r:id="rId185" display="战吼" tooltip="/dark_souls_3/item12155?wid=747"/>
    <hyperlink ref="A121" r:id="rId186" display="巨型棍棒" tooltip="/dark_souls_3/baike3104?wid=747"/>
    <hyperlink ref="AC121" r:id="rId185" display="战吼" tooltip="/dark_souls_3/item12155?wid=747"/>
    <hyperlink ref="A122" r:id="rId187" display="巨型锤矛" tooltip="/dark_souls_3/baike3105?wid=747"/>
    <hyperlink ref="AC122" r:id="rId188" display="忍耐" tooltip="/dark_souls_3/item12156?wid=747"/>
    <hyperlink ref="A123" r:id="rId189" display="大木槌" tooltip="/dark_souls_3/baike3106?wid=747"/>
    <hyperlink ref="AC123" r:id="rId190" display="回旋殴击" tooltip="/dark_souls_3/item12170?wid=747"/>
    <hyperlink ref="A124" r:id="rId191" display="石像鬼灯火槌" tooltip="/dark_souls_3/baike3107?wid=747"/>
    <hyperlink ref="AC124" r:id="rId192" display="灯火连射" tooltip="/dark_souls_3/item12171?wid=747"/>
    <hyperlink ref="A125" r:id="rId193" display="玻尔多大锤" tooltip="/dark_souls_3/baike3108?wid=747"/>
    <hyperlink ref="AC125" r:id="rId188" display="忍耐" tooltip="/dark_souls_3/item12156?wid=747"/>
    <hyperlink ref="A126" r:id="rId194" display="老王大槌" tooltip="/dark_souls_3/baike3109?wid=747"/>
    <hyperlink ref="AC126" r:id="rId195" display="忍耐岩浆" tooltip="/dark_souls_3/item12172?wid=747"/>
    <hyperlink ref="A127" r:id="rId196" display="十字镐" tooltip="/dark_souls_3/baike3112?wid=747"/>
    <hyperlink ref="AC127" r:id="rId197" display="一鼓作气" tooltip="/dark_souls_3/item12174?wid=747"/>
    <hyperlink ref="A128" r:id="rId198" display="大龙牙" tooltip="/dark_souls_3/baike3113?wid=747"/>
    <hyperlink ref="AC128" r:id="rId188" display="忍耐" tooltip="/dark_souls_3/item12156?wid=747"/>
    <hyperlink ref="A129" r:id="rId199" display="斯摩的锤子" tooltip="/dark_souls_3/baike3114?wid=747"/>
    <hyperlink ref="AC129" r:id="rId188" display="忍耐" tooltip="/dark_souls_3/item12156?wid=747"/>
    <hyperlink ref="A130" r:id="rId200" display="摩恩大锤" tooltip="/dark_souls_3/baike3116?wid=747"/>
    <hyperlink ref="AC130" r:id="rId201" display="摩恩之怒" tooltip="/dark_souls_3/item12175?wid=747"/>
    <hyperlink ref="A131" r:id="rId202" display="尖刺锤矛" tooltip="/dark_souls_3/baike3117?wid=747"/>
    <hyperlink ref="AC131" r:id="rId190" display="回旋殴击" tooltip="/dark_souls_3/item12170?wid=747"/>
    <hyperlink ref="A132" r:id="rId203" display="地鸣岩槌" tooltip="/dark_souls_3/baike3253?wid=747"/>
    <hyperlink ref="AC132" r:id="rId204" display="地鸣" tooltip="/dark_souls_3/item12212?wid=747"/>
    <hyperlink ref="A133" r:id="rId205" display="雷多大锤" tooltip="/dark_souls_3/baike3271?wid=747"/>
    <hyperlink ref="AC133" r:id="rId206" display="唤岩" tooltip="/dark_souls_3/item12225?wid=747"/>
    <hyperlink ref="A134" r:id="rId207" display="枪" tooltip="/dark_souls_3/baike3118?wid=748"/>
    <hyperlink ref="AC134" r:id="rId208" display="贯穿" tooltip="/dark_souls_3/item12143?wid=748"/>
    <hyperlink ref="A135" r:id="rId209" display="雁翅枪" tooltip="/dark_souls_3/baike3119?wid=748"/>
    <hyperlink ref="AC135" r:id="rId210" display="突击" tooltip="/dark_souls_3/item12152?wid=748"/>
    <hyperlink ref="A136" r:id="rId211" display="游击枪" tooltip="/dark_souls_3/baike3120?wid=748"/>
    <hyperlink ref="AC136" r:id="rId212" display="回转斩击" tooltip="/dark_souls_3/item12176?wid=748"/>
    <hyperlink ref="A137" r:id="rId213" display="四齿钉耙" tooltip="/dark_souls_3/baike3123?wid=748"/>
    <hyperlink ref="AC137" r:id="rId210" display="突击" tooltip="/dark_souls_3/item12152?wid=748"/>
    <hyperlink ref="A138" r:id="rId214" display="石像鬼灯火枪" tooltip="/dark_souls_3/baike3124?wid=748"/>
    <hyperlink ref="AC138" r:id="rId215" display="灯火突击" tooltip="/dark_souls_3/item12177?wid=748"/>
    <hyperlink ref="A139" r:id="rId216" display="咕鲁腐败枪" tooltip="/dark_souls_3/baike3125?wid=748"/>
    <hyperlink ref="AC139" r:id="rId210" display="突击" tooltip="/dark_souls_3/item12152?wid=748"/>
    <hyperlink ref="A140" r:id="rId217" display="尾骨枪" tooltip="/dark_souls_3/baike3126?wid=748"/>
    <hyperlink ref="AC140" r:id="rId218" display="龙的力量" tooltip="/dark_souls_3/item12137?wid=748"/>
    <hyperlink ref="A141" r:id="rId219" display="烙铁" tooltip="/dark_souls_3/baike3127?wid=748"/>
    <hyperlink ref="AC141" r:id="rId210" display="突击" tooltip="/dark_souls_3/item12152?wid=748"/>
    <hyperlink ref="A142" r:id="rId220" display="猎龙剑枪" tooltip="/dark_souls_3/baike3128?wid=748"/>
    <hyperlink ref="AC142" r:id="rId221" display="落雷" tooltip="/dark_souls_3/item12167?wid=748"/>
    <hyperlink ref="A143" r:id="rId222" display="阿尔斯特枪" tooltip="/dark_souls_3/baike3129?wid=748"/>
    <hyperlink ref="AC143" r:id="rId208" display="贯穿" tooltip="/dark_souls_3/item12143?wid=748"/>
    <hyperlink ref="A144" r:id="rId223" display="圣者双叉枪" tooltip="/dark_souls_3/baike3130?wid=748"/>
    <hyperlink ref="AC144" r:id="rId210" display="突击" tooltip="/dark_souls_3/item12152?wid=748"/>
    <hyperlink ref="A145" r:id="rId224" display="幽儿希卡枪" tooltip="/dark_souls_3/baike3131?wid=748"/>
    <hyperlink ref="AC145" r:id="rId225" display="催眠" tooltip="/dark_souls_3/item12178?wid=748"/>
    <hyperlink ref="A146" r:id="rId226" display="四齿钉耙（删减内容）" tooltip="/dark_souls_3/baike3133?wid=748"/>
    <hyperlink ref="A147" r:id="rId227" display="猎龙枪" tooltip="/dark_souls_3/baike3134?wid=748"/>
    <hyperlink ref="AC147" r:id="rId228" display="雷电突击" tooltip="/dark_souls_3/item12179?wid=748"/>
    <hyperlink ref="A148" r:id="rId229" display="金枝杖枪" tooltip="/dark_souls_3/baike3162?wid=748"/>
    <hyperlink ref="AC148" r:id="rId230" display="增幅咏唱" tooltip="/dark_souls_3/item12173?wid=748"/>
    <hyperlink ref="A149" r:id="rId231" display="多兰对枪" tooltip="/dark_souls_3/baike3188?wid=748"/>
    <hyperlink ref="AC149" r:id="rId210" display="突击" tooltip="/dark_souls_3/item12152?wid=748"/>
    <hyperlink ref="A150" r:id="rId232" display="幽魂投枪" tooltip="/dark_souls_3/baike3254?wid=748"/>
    <hyperlink ref="AC150" r:id="rId233" display="掷枪" tooltip="/dark_souls_3/item12213?wid=748"/>
    <hyperlink ref="A151" r:id="rId234" display="巨骑枪" tooltip="/dark_souls_3/baike3121?wid=749"/>
    <hyperlink ref="AC151" r:id="rId235" display="突击" tooltip="/dark_souls_3/item12152?wid=749"/>
    <hyperlink ref="A152" r:id="rId236" display="洛斯里克骑士长枪" tooltip="/dark_souls_3/baike3122?wid=749"/>
    <hyperlink ref="AC152" r:id="rId235" display="突击" tooltip="/dark_souls_3/item12152?wid=749"/>
    <hyperlink ref="A153" r:id="rId237" display="矛" tooltip="/dark_souls_3/baike3132?wid=749"/>
    <hyperlink ref="AC153" r:id="rId235" display="突击" tooltip="/dark_souls_3/item12152?wid=749"/>
    <hyperlink ref="A154" r:id="rId238" display="环印骑士枪" tooltip="/dark_souls_3/baike3272?wid=749"/>
    <hyperlink ref="AC154" r:id="rId239" display="余火" tooltip="/dark_souls_3/item12163?wid=749"/>
    <hyperlink ref="A155" r:id="rId240" display="洛斯里克军旗" tooltip="/dark_souls_3/baike3273?wid=749"/>
    <hyperlink ref="AC155" r:id="rId241" display="洛斯里克军旗" tooltip="/dark_souls_3/item12226?wid=749"/>
    <hyperlink ref="A156" r:id="rId242" display="弦月斧" tooltip="/dark_souls_3/baike3090?wid=750"/>
    <hyperlink ref="AC156" r:id="rId243" display="战吼" tooltip="/dark_souls_3/item12155?wid=750"/>
    <hyperlink ref="A157" r:id="rId244" display="鹤嘴戟" tooltip="/dark_souls_3/baike3136?wid=750"/>
    <hyperlink ref="AC157" r:id="rId245" display="回转斩击" tooltip="/dark_souls_3/item12176?wid=750"/>
    <hyperlink ref="A158" r:id="rId246" display="剑刃戟" tooltip="/dark_souls_3/baike3137?wid=750"/>
    <hyperlink ref="AC158" r:id="rId245" display="回转斩击" tooltip="/dark_souls_3/item12176?wid=750"/>
    <hyperlink ref="A159" r:id="rId247" display="戟" tooltip="/dark_souls_3/baike3138?wid=750"/>
    <hyperlink ref="AC159" r:id="rId248" display="突击" tooltip="/dark_souls_3/item12152?wid=750"/>
    <hyperlink ref="A160" r:id="rId249" display="羽翼骑士戟" tooltip="/dark_souls_3/baike3142?wid=750"/>
    <hyperlink ref="AC160" r:id="rId250" display="连续回转" tooltip="/dark_souls_3/item12182?wid=750"/>
    <hyperlink ref="A161" r:id="rId251" display="古达的戟" tooltip="/dark_souls_3/baike3143?wid=750"/>
    <hyperlink ref="AC161" r:id="rId252" display="英雄突击" tooltip="/dark_souls_3/item12183?wid=750"/>
    <hyperlink ref="A162" r:id="rId253" display="红柄戟" tooltip="/dark_souls_3/baike3144?wid=750"/>
    <hyperlink ref="AC162" r:id="rId254" display="忍耐" tooltip="/dark_souls_3/item12156?wid=750"/>
    <hyperlink ref="A163" r:id="rId255" display="黑骑士剑刃戟" tooltip="/dark_souls_3/baike3145?wid=750"/>
    <hyperlink ref="AC163" r:id="rId245" display="回转斩击" tooltip="/dark_souls_3/item12176?wid=750"/>
    <hyperlink ref="A164" r:id="rId256" display="火刑光芒" tooltip="/dark_souls_3/baike3146?wid=750"/>
    <hyperlink ref="AC164" r:id="rId257" display="火刑" tooltip="/dark_souls_3/item12184?wid=750"/>
    <hyperlink ref="A165" r:id="rId258" display="狂王磔枪" tooltip="/dark_souls_3/baike3274?wid=750"/>
    <hyperlink ref="AC165" r:id="rId259" display="随兴狂王" tooltip="/dark_souls_3/item12227?wid=750"/>
    <hyperlink ref="A166" r:id="rId260" display="半叶大刀" tooltip="/dark_souls_3/baike3275?wid=750"/>
    <hyperlink ref="AC166" r:id="rId261" display="轮旋斩" tooltip="/dark_souls_3/item12228?wid=750"/>
    <hyperlink ref="A167" r:id="rId262" display="大镰刀" tooltip="/dark_souls_3/baike3135?wid=751"/>
    <hyperlink ref="AC167" r:id="rId263" display="猎首" tooltip="/dark_souls_3/item12180?wid=751"/>
    <hyperlink ref="A168" r:id="rId264" display="教宗骑士大镰刀" tooltip="/dark_souls_3/baike3140?wid=751"/>
    <hyperlink ref="AC168" r:id="rId265" display="寒气刀刃" tooltip="/dark_souls_3/item12145?wid=751"/>
    <hyperlink ref="A169" r:id="rId266" display="鸦人大镰刀" tooltip="/dark_souls_3/baike3141?wid=751"/>
    <hyperlink ref="AC169" r:id="rId263" display="猎首" tooltip="/dark_souls_3/item12180?wid=751"/>
    <hyperlink ref="A170" r:id="rId267" display="芙莉德大镰刀" tooltip="/dark_souls_3/baike3255?wid=751"/>
    <hyperlink ref="AC170" r:id="rId268" display="艾尔芙莉德的攻势" tooltip="/dark_souls_3/item12214?wid=751"/>
    <hyperlink ref="A176" r:id="rId269" display="钩爪" tooltip="/dark_souls_3/baike3147?wid=752"/>
    <hyperlink ref="AC176" r:id="rId270" display="猿猴斩" tooltip="/dark_souls_3/item12185?wid=752"/>
    <hyperlink ref="A177" r:id="rId271" display="傀儡钩爪" tooltip="/dark_souls_3/baike3149?wid=752"/>
    <hyperlink ref="AC177" r:id="rId272" display="碎步" tooltip="/dark_souls_3/item12134?wid=752"/>
    <hyperlink ref="A178" r:id="rId273" display="鸦爪" tooltip="/dark_souls_3/baike3256?wid=752"/>
    <hyperlink ref="AC178" r:id="rId274" display="猛禽连击" tooltip="/dark_souls_3/item12215?wid=752"/>
    <hyperlink ref="A179" r:id="rId275" display="护手带" tooltip="/dark_souls_3/baike3148?wid=753"/>
    <hyperlink ref="AC179" r:id="rId276" display="忍耐" tooltip="/dark_souls_3/item12156?wid=753"/>
    <hyperlink ref="A180" r:id="rId277" display="恶魔指虎" tooltip="/dark_souls_3/baike3150?wid=753"/>
    <hyperlink ref="AC180" r:id="rId278" display="火焰尾" tooltip="/dark_souls_3/item12186?wid=753"/>
    <hyperlink ref="A181" r:id="rId279" display="黑暗之手" tooltip="/dark_souls_3/baike3151?wid=753"/>
    <hyperlink ref="AC181" r:id="rId280" display="吸魂" tooltip="/dark_souls_3/item12187?wid=753"/>
    <hyperlink ref="A171" r:id="rId281" display="软鞭" tooltip="/dark_souls_3/baike3152?wid=754"/>
    <hyperlink ref="AC171" r:id="rId282" display="痛击" tooltip="/dark_souls_3/item12188?wid=754"/>
    <hyperlink ref="A172" r:id="rId283" display="魔女黑发" tooltip="/dark_souls_3/baike3153?wid=754"/>
    <hyperlink ref="AC172" r:id="rId284" display="火焰鞭" tooltip="/dark_souls_3/item12189?wid=754"/>
    <hyperlink ref="A173" r:id="rId285" display="荆棘软鞭" tooltip="/dark_souls_3/baike3154?wid=754"/>
    <hyperlink ref="AC173" r:id="rId282" display="痛击" tooltip="/dark_souls_3/item12188?wid=754"/>
    <hyperlink ref="A174" r:id="rId286" display="斑斓鞭" tooltip="/dark_souls_3/baike3155?wid=754"/>
    <hyperlink ref="AC174" r:id="rId282" display="痛击" tooltip="/dark_souls_3/item12188?wid=754"/>
    <hyperlink ref="A175" r:id="rId287" display="艾雷德尔蔷薇" tooltip="/dark_souls_3/baike3257?wid=754"/>
    <hyperlink ref="AC175" r:id="rId288" display="觉醒" tooltip="/dark_souls_3/item12216?wid=754"/>
    <hyperlink ref="A2" r:id="rId289" display="火把" tooltip="/dark_souls_3/baike3248?wid=765"/>
    <hyperlink ref="A3" r:id="rId290" display="幽魂火把" tooltip="/dark_souls_3/baike3263?wid=765"/>
    <hyperlink ref="AC3" r:id="rId291" display="吐火" tooltip="/dark_souls_3/item12221?wid=765"/>
  </hyperlink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F64"/>
  <sheetViews>
    <sheetView workbookViewId="0">
      <pane xSplit="1" ySplit="1" topLeftCell="C2" activePane="bottomRight" state="frozen"/>
      <selection/>
      <selection pane="topRight"/>
      <selection pane="bottomLeft"/>
      <selection pane="bottomRight" activeCell="F3" sqref="F3"/>
    </sheetView>
  </sheetViews>
  <sheetFormatPr defaultColWidth="9" defaultRowHeight="13.5"/>
  <cols>
    <col min="2" max="3" width="12.5"/>
  </cols>
  <sheetData>
    <row r="1" ht="48" spans="1:32">
      <c r="A1" s="2" t="s">
        <v>0</v>
      </c>
      <c r="B1" s="2" t="s">
        <v>1</v>
      </c>
      <c r="C1" s="2" t="s">
        <v>2</v>
      </c>
      <c r="D1" s="2" t="s">
        <v>466</v>
      </c>
      <c r="E1" s="2" t="s">
        <v>467</v>
      </c>
      <c r="F1" s="2" t="s">
        <v>468</v>
      </c>
      <c r="G1" s="2" t="s">
        <v>469</v>
      </c>
      <c r="H1" s="2" t="s">
        <v>470</v>
      </c>
      <c r="I1" s="2" t="s">
        <v>471</v>
      </c>
      <c r="J1" s="2" t="s">
        <v>9</v>
      </c>
      <c r="K1" s="2" t="s">
        <v>10</v>
      </c>
      <c r="L1" s="2" t="s">
        <v>472</v>
      </c>
      <c r="M1" s="2" t="s">
        <v>473</v>
      </c>
      <c r="N1" s="2" t="s">
        <v>474</v>
      </c>
      <c r="O1" s="2" t="s">
        <v>475</v>
      </c>
      <c r="P1" s="2" t="s">
        <v>476</v>
      </c>
      <c r="Q1" s="2" t="s">
        <v>477</v>
      </c>
      <c r="R1" s="2" t="s">
        <v>478</v>
      </c>
      <c r="S1" s="2" t="s">
        <v>479</v>
      </c>
      <c r="T1" s="2" t="s">
        <v>480</v>
      </c>
      <c r="U1" s="2" t="s">
        <v>481</v>
      </c>
      <c r="V1" s="2" t="s">
        <v>482</v>
      </c>
      <c r="W1" s="2" t="s">
        <v>483</v>
      </c>
      <c r="X1" s="2" t="s">
        <v>484</v>
      </c>
      <c r="Y1" s="2" t="s">
        <v>485</v>
      </c>
      <c r="Z1" s="2" t="s">
        <v>486</v>
      </c>
      <c r="AA1" s="2" t="s">
        <v>487</v>
      </c>
      <c r="AB1" s="2" t="s">
        <v>488</v>
      </c>
      <c r="AC1" s="2" t="s">
        <v>28</v>
      </c>
      <c r="AD1" s="2" t="s">
        <v>29</v>
      </c>
      <c r="AE1" s="2" t="s">
        <v>30</v>
      </c>
      <c r="AF1" s="2" t="s">
        <v>31</v>
      </c>
    </row>
    <row r="2" customFormat="1" ht="75" spans="1:32">
      <c r="A2" s="3" t="s">
        <v>489</v>
      </c>
      <c r="B2" t="str">
        <f>_xlfn.DISPIMG("ID_C642F75C5F164981B4D789DE64C09C3A",1)</f>
        <v>=DISPIMG("ID_C642F75C5F164981B4D789DE64C09C3A",1)</v>
      </c>
      <c r="C2" t="s">
        <v>490</v>
      </c>
      <c r="D2" s="3">
        <v>67</v>
      </c>
      <c r="E2" s="3">
        <v>0</v>
      </c>
      <c r="F2" s="3">
        <v>0</v>
      </c>
      <c r="G2" s="3">
        <v>0</v>
      </c>
      <c r="H2" s="3">
        <v>0</v>
      </c>
      <c r="I2" s="3">
        <v>100</v>
      </c>
      <c r="J2" s="3" t="s">
        <v>35</v>
      </c>
      <c r="K2" s="3" t="s">
        <v>35</v>
      </c>
      <c r="L2" s="3">
        <v>49</v>
      </c>
      <c r="M2" s="3">
        <v>35</v>
      </c>
      <c r="N2" s="3">
        <v>30</v>
      </c>
      <c r="O2" s="3">
        <v>11</v>
      </c>
      <c r="P2" s="3">
        <v>28</v>
      </c>
      <c r="Q2" s="3" t="s">
        <v>491</v>
      </c>
      <c r="R2" s="3">
        <v>0</v>
      </c>
      <c r="S2" s="3">
        <v>0</v>
      </c>
      <c r="T2" s="3">
        <v>0</v>
      </c>
      <c r="U2" s="3" t="s">
        <v>34</v>
      </c>
      <c r="V2" s="3" t="s">
        <v>35</v>
      </c>
      <c r="W2" s="3" t="s">
        <v>35</v>
      </c>
      <c r="X2" s="3" t="s">
        <v>35</v>
      </c>
      <c r="Y2" s="3">
        <v>7</v>
      </c>
      <c r="Z2" s="3">
        <v>13</v>
      </c>
      <c r="AA2" s="3">
        <v>0</v>
      </c>
      <c r="AB2" s="3">
        <v>0</v>
      </c>
      <c r="AC2" s="3" t="s">
        <v>158</v>
      </c>
      <c r="AD2" s="3" t="s">
        <v>150</v>
      </c>
      <c r="AE2" s="3">
        <v>1.5</v>
      </c>
      <c r="AF2" s="3">
        <v>30</v>
      </c>
    </row>
    <row r="3" customFormat="1" ht="75" spans="1:32">
      <c r="A3" s="3" t="s">
        <v>492</v>
      </c>
      <c r="B3" t="str">
        <f>_xlfn.DISPIMG("ID_C97F7AA7721D43D9929FA56AF56D2E6C",1)</f>
        <v>=DISPIMG("ID_C97F7AA7721D43D9929FA56AF56D2E6C",1)</v>
      </c>
      <c r="C3" t="s">
        <v>490</v>
      </c>
      <c r="D3" s="3">
        <v>70</v>
      </c>
      <c r="E3" s="3">
        <v>0</v>
      </c>
      <c r="F3" s="3">
        <v>0</v>
      </c>
      <c r="G3" s="3">
        <v>0</v>
      </c>
      <c r="H3" s="3">
        <v>0</v>
      </c>
      <c r="I3" s="3">
        <v>100</v>
      </c>
      <c r="J3" s="3" t="s">
        <v>35</v>
      </c>
      <c r="K3" s="3" t="s">
        <v>35</v>
      </c>
      <c r="L3" s="3">
        <v>42</v>
      </c>
      <c r="M3" s="3">
        <v>42</v>
      </c>
      <c r="N3" s="3">
        <v>50</v>
      </c>
      <c r="O3" s="3">
        <v>38</v>
      </c>
      <c r="P3" s="3">
        <v>35</v>
      </c>
      <c r="Q3" s="3" t="s">
        <v>493</v>
      </c>
      <c r="R3" s="3">
        <v>0</v>
      </c>
      <c r="S3" s="3">
        <v>0</v>
      </c>
      <c r="T3" s="3">
        <v>0</v>
      </c>
      <c r="U3" s="3" t="s">
        <v>34</v>
      </c>
      <c r="V3" s="3" t="s">
        <v>35</v>
      </c>
      <c r="W3" s="3" t="s">
        <v>35</v>
      </c>
      <c r="X3" s="3" t="s">
        <v>35</v>
      </c>
      <c r="Y3" s="3">
        <v>7</v>
      </c>
      <c r="Z3" s="3">
        <v>0</v>
      </c>
      <c r="AA3" s="3">
        <v>0</v>
      </c>
      <c r="AB3" s="3">
        <v>0</v>
      </c>
      <c r="AC3" s="3" t="s">
        <v>158</v>
      </c>
      <c r="AD3" s="3" t="s">
        <v>150</v>
      </c>
      <c r="AE3" s="3">
        <v>2</v>
      </c>
      <c r="AF3" s="3">
        <v>55</v>
      </c>
    </row>
    <row r="4" customFormat="1" ht="75" spans="1:32">
      <c r="A4" s="3" t="s">
        <v>494</v>
      </c>
      <c r="B4" t="str">
        <f>_xlfn.DISPIMG("ID_2C78FD8AB08B45E4B3B697E0A100E60E",1)</f>
        <v>=DISPIMG("ID_2C78FD8AB08B45E4B3B697E0A100E60E",1)</v>
      </c>
      <c r="C4" t="s">
        <v>490</v>
      </c>
      <c r="D4" s="3">
        <v>72</v>
      </c>
      <c r="E4" s="3">
        <v>0</v>
      </c>
      <c r="F4" s="3">
        <v>0</v>
      </c>
      <c r="G4" s="3">
        <v>0</v>
      </c>
      <c r="H4" s="3">
        <v>0</v>
      </c>
      <c r="I4" s="3">
        <v>100</v>
      </c>
      <c r="J4" s="3" t="s">
        <v>35</v>
      </c>
      <c r="K4" s="3" t="s">
        <v>35</v>
      </c>
      <c r="L4" s="3">
        <v>56</v>
      </c>
      <c r="M4" s="3">
        <v>35</v>
      </c>
      <c r="N4" s="3">
        <v>58</v>
      </c>
      <c r="O4" s="3">
        <v>45</v>
      </c>
      <c r="P4" s="3">
        <v>55</v>
      </c>
      <c r="Q4" s="3" t="s">
        <v>495</v>
      </c>
      <c r="R4" s="3">
        <v>0</v>
      </c>
      <c r="S4" s="3">
        <v>0</v>
      </c>
      <c r="T4" s="3">
        <v>0</v>
      </c>
      <c r="U4" s="3" t="s">
        <v>34</v>
      </c>
      <c r="V4" s="3" t="s">
        <v>35</v>
      </c>
      <c r="W4" s="3" t="s">
        <v>35</v>
      </c>
      <c r="X4" s="3" t="s">
        <v>35</v>
      </c>
      <c r="Y4" s="3">
        <v>5</v>
      </c>
      <c r="Z4" s="3">
        <v>0</v>
      </c>
      <c r="AA4" s="3">
        <v>0</v>
      </c>
      <c r="AB4" s="3">
        <v>0</v>
      </c>
      <c r="AC4" s="3" t="s">
        <v>158</v>
      </c>
      <c r="AD4" s="3" t="s">
        <v>150</v>
      </c>
      <c r="AE4" s="3">
        <v>2</v>
      </c>
      <c r="AF4" s="3">
        <v>60</v>
      </c>
    </row>
    <row r="5" customFormat="1" ht="75" spans="1:32">
      <c r="A5" s="3" t="s">
        <v>496</v>
      </c>
      <c r="B5" t="str">
        <f>_xlfn.DISPIMG("ID_B3CFB9A25ADF4597A38AF71F4668F6C9",1)</f>
        <v>=DISPIMG("ID_B3CFB9A25ADF4597A38AF71F4668F6C9",1)</v>
      </c>
      <c r="C5" t="s">
        <v>490</v>
      </c>
      <c r="D5" s="3">
        <v>71</v>
      </c>
      <c r="E5" s="3">
        <v>0</v>
      </c>
      <c r="F5" s="3">
        <v>0</v>
      </c>
      <c r="G5" s="3">
        <v>0</v>
      </c>
      <c r="H5" s="3">
        <v>0</v>
      </c>
      <c r="I5" s="3">
        <v>100</v>
      </c>
      <c r="J5" s="3" t="s">
        <v>35</v>
      </c>
      <c r="K5" s="3" t="s">
        <v>35</v>
      </c>
      <c r="L5" s="3">
        <v>67</v>
      </c>
      <c r="M5" s="3">
        <v>44</v>
      </c>
      <c r="N5" s="3">
        <v>38</v>
      </c>
      <c r="O5" s="3">
        <v>19</v>
      </c>
      <c r="P5" s="3">
        <v>36</v>
      </c>
      <c r="Q5" s="3" t="s">
        <v>497</v>
      </c>
      <c r="R5" s="3">
        <v>0</v>
      </c>
      <c r="S5" s="3">
        <v>0</v>
      </c>
      <c r="T5" s="3">
        <v>0</v>
      </c>
      <c r="U5" s="3" t="s">
        <v>34</v>
      </c>
      <c r="V5" s="3" t="s">
        <v>35</v>
      </c>
      <c r="W5" s="3" t="s">
        <v>35</v>
      </c>
      <c r="X5" s="3" t="s">
        <v>35</v>
      </c>
      <c r="Y5" s="3">
        <v>5</v>
      </c>
      <c r="Z5" s="3">
        <v>0</v>
      </c>
      <c r="AA5" s="3">
        <v>0</v>
      </c>
      <c r="AB5" s="3">
        <v>0</v>
      </c>
      <c r="AC5" s="3" t="s">
        <v>158</v>
      </c>
      <c r="AD5" s="3" t="s">
        <v>150</v>
      </c>
      <c r="AE5" s="3">
        <v>2</v>
      </c>
      <c r="AF5" s="3">
        <v>55</v>
      </c>
    </row>
    <row r="6" customFormat="1" ht="75" spans="1:32">
      <c r="A6" s="3" t="s">
        <v>498</v>
      </c>
      <c r="B6" t="str">
        <f>_xlfn.DISPIMG("ID_519B716B64A84430AD3FCD2F6D648CEA",1)</f>
        <v>=DISPIMG("ID_519B716B64A84430AD3FCD2F6D648CEA",1)</v>
      </c>
      <c r="C6" t="s">
        <v>490</v>
      </c>
      <c r="D6" s="3">
        <v>78</v>
      </c>
      <c r="E6" s="3">
        <v>0</v>
      </c>
      <c r="F6" s="3">
        <v>0</v>
      </c>
      <c r="G6" s="3">
        <v>0</v>
      </c>
      <c r="H6" s="3">
        <v>0</v>
      </c>
      <c r="I6" s="3">
        <v>100</v>
      </c>
      <c r="J6" s="3" t="s">
        <v>35</v>
      </c>
      <c r="K6" s="3" t="s">
        <v>35</v>
      </c>
      <c r="L6" s="3">
        <v>62</v>
      </c>
      <c r="M6" s="3">
        <v>43</v>
      </c>
      <c r="N6" s="3">
        <v>39</v>
      </c>
      <c r="O6" s="3">
        <v>34</v>
      </c>
      <c r="P6" s="3">
        <v>37</v>
      </c>
      <c r="Q6" s="3" t="s">
        <v>499</v>
      </c>
      <c r="R6" s="3">
        <v>0</v>
      </c>
      <c r="S6" s="3">
        <v>33</v>
      </c>
      <c r="T6" s="3">
        <v>0</v>
      </c>
      <c r="U6" s="3" t="s">
        <v>34</v>
      </c>
      <c r="V6" s="3" t="s">
        <v>35</v>
      </c>
      <c r="W6" s="3" t="s">
        <v>35</v>
      </c>
      <c r="X6" s="3" t="s">
        <v>35</v>
      </c>
      <c r="Y6" s="3">
        <v>5</v>
      </c>
      <c r="Z6" s="3">
        <v>0</v>
      </c>
      <c r="AA6" s="3">
        <v>0</v>
      </c>
      <c r="AB6" s="3">
        <v>0</v>
      </c>
      <c r="AC6" s="3" t="s">
        <v>500</v>
      </c>
      <c r="AD6" s="3" t="s">
        <v>62</v>
      </c>
      <c r="AE6" s="3">
        <v>1.5</v>
      </c>
      <c r="AF6" s="3">
        <v>55</v>
      </c>
    </row>
    <row r="7" customFormat="1" ht="75" spans="1:32">
      <c r="A7" s="3" t="s">
        <v>501</v>
      </c>
      <c r="B7" t="str">
        <f>_xlfn.DISPIMG("ID_403891AED6DB41F58569E7A107D2AB36",1)</f>
        <v>=DISPIMG("ID_403891AED6DB41F58569E7A107D2AB36",1)</v>
      </c>
      <c r="C7" t="s">
        <v>490</v>
      </c>
      <c r="D7" s="3">
        <v>69</v>
      </c>
      <c r="E7" s="3">
        <v>0</v>
      </c>
      <c r="F7" s="3">
        <v>0</v>
      </c>
      <c r="G7" s="3">
        <v>0</v>
      </c>
      <c r="H7" s="3">
        <v>0</v>
      </c>
      <c r="I7" s="3">
        <v>100</v>
      </c>
      <c r="J7" s="3" t="s">
        <v>35</v>
      </c>
      <c r="K7" s="3" t="s">
        <v>35</v>
      </c>
      <c r="L7" s="3">
        <v>61</v>
      </c>
      <c r="M7" s="3">
        <v>36</v>
      </c>
      <c r="N7" s="3">
        <v>31</v>
      </c>
      <c r="O7" s="3">
        <v>12</v>
      </c>
      <c r="P7" s="3">
        <v>29</v>
      </c>
      <c r="Q7" s="3" t="s">
        <v>502</v>
      </c>
      <c r="R7" s="3">
        <v>0</v>
      </c>
      <c r="S7" s="3">
        <v>0</v>
      </c>
      <c r="T7" s="3">
        <v>0</v>
      </c>
      <c r="U7" s="3" t="s">
        <v>34</v>
      </c>
      <c r="V7" s="3" t="s">
        <v>35</v>
      </c>
      <c r="W7" s="3" t="s">
        <v>35</v>
      </c>
      <c r="X7" s="3" t="s">
        <v>35</v>
      </c>
      <c r="Y7" s="3">
        <v>8</v>
      </c>
      <c r="Z7" s="3">
        <v>11</v>
      </c>
      <c r="AA7" s="3">
        <v>0</v>
      </c>
      <c r="AB7" s="3">
        <v>0</v>
      </c>
      <c r="AC7" s="3" t="s">
        <v>158</v>
      </c>
      <c r="AD7" s="3" t="s">
        <v>150</v>
      </c>
      <c r="AE7" s="3">
        <v>2</v>
      </c>
      <c r="AF7" s="3">
        <v>40</v>
      </c>
    </row>
    <row r="8" customFormat="1" ht="75" spans="1:32">
      <c r="A8" s="3" t="s">
        <v>503</v>
      </c>
      <c r="B8" t="str">
        <f>_xlfn.DISPIMG("ID_EA3A5B96D8E04BB6AF759FEA8D21ADB7",1)</f>
        <v>=DISPIMG("ID_EA3A5B96D8E04BB6AF759FEA8D21ADB7",1)</v>
      </c>
      <c r="C8" t="s">
        <v>490</v>
      </c>
      <c r="D8" s="3">
        <v>69</v>
      </c>
      <c r="E8" s="3">
        <v>0</v>
      </c>
      <c r="F8" s="3">
        <v>0</v>
      </c>
      <c r="G8" s="3">
        <v>0</v>
      </c>
      <c r="H8" s="3">
        <v>0</v>
      </c>
      <c r="I8" s="3">
        <v>100</v>
      </c>
      <c r="J8" s="3" t="s">
        <v>35</v>
      </c>
      <c r="K8" s="3" t="s">
        <v>35</v>
      </c>
      <c r="L8" s="3">
        <v>59</v>
      </c>
      <c r="M8" s="3">
        <v>63</v>
      </c>
      <c r="N8" s="3">
        <v>33</v>
      </c>
      <c r="O8" s="3">
        <v>36</v>
      </c>
      <c r="P8" s="3">
        <v>25</v>
      </c>
      <c r="Q8" s="3" t="s">
        <v>504</v>
      </c>
      <c r="R8" s="3">
        <v>0</v>
      </c>
      <c r="S8" s="3">
        <v>0</v>
      </c>
      <c r="T8" s="3">
        <v>0</v>
      </c>
      <c r="U8" s="3" t="s">
        <v>34</v>
      </c>
      <c r="V8" s="3" t="s">
        <v>35</v>
      </c>
      <c r="W8" s="3" t="s">
        <v>35</v>
      </c>
      <c r="X8" s="3" t="s">
        <v>35</v>
      </c>
      <c r="Y8" s="3">
        <v>8</v>
      </c>
      <c r="Z8" s="3">
        <v>0</v>
      </c>
      <c r="AA8" s="3">
        <v>0</v>
      </c>
      <c r="AB8" s="3">
        <v>0</v>
      </c>
      <c r="AC8" s="3" t="s">
        <v>158</v>
      </c>
      <c r="AD8" s="3" t="s">
        <v>150</v>
      </c>
      <c r="AE8" s="3">
        <v>1.5</v>
      </c>
      <c r="AF8" s="3">
        <v>55</v>
      </c>
    </row>
    <row r="9" customFormat="1" ht="75" spans="1:32">
      <c r="A9" s="3" t="s">
        <v>505</v>
      </c>
      <c r="B9" t="str">
        <f>_xlfn.DISPIMG("ID_C3988F54835845AD956C84219DC5EDF9",1)</f>
        <v>=DISPIMG("ID_C3988F54835845AD956C84219DC5EDF9",1)</v>
      </c>
      <c r="C9" t="s">
        <v>490</v>
      </c>
      <c r="D9" s="3">
        <v>74</v>
      </c>
      <c r="E9" s="3">
        <v>0</v>
      </c>
      <c r="F9" s="3">
        <v>0</v>
      </c>
      <c r="G9" s="3">
        <v>0</v>
      </c>
      <c r="H9" s="3">
        <v>0</v>
      </c>
      <c r="I9" s="3">
        <v>100</v>
      </c>
      <c r="J9" s="3" t="s">
        <v>35</v>
      </c>
      <c r="K9" s="3" t="s">
        <v>35</v>
      </c>
      <c r="L9" s="3">
        <v>62</v>
      </c>
      <c r="M9" s="3">
        <v>68</v>
      </c>
      <c r="N9" s="3">
        <v>45</v>
      </c>
      <c r="O9" s="3">
        <v>46</v>
      </c>
      <c r="P9" s="3">
        <v>36</v>
      </c>
      <c r="Q9" s="3" t="s">
        <v>495</v>
      </c>
      <c r="R9" s="3">
        <v>0</v>
      </c>
      <c r="S9" s="3">
        <v>0</v>
      </c>
      <c r="T9" s="3">
        <v>0</v>
      </c>
      <c r="U9" s="3" t="s">
        <v>34</v>
      </c>
      <c r="V9" s="3" t="s">
        <v>35</v>
      </c>
      <c r="W9" s="3" t="s">
        <v>35</v>
      </c>
      <c r="X9" s="3" t="s">
        <v>35</v>
      </c>
      <c r="Y9" s="3">
        <v>10</v>
      </c>
      <c r="Z9" s="3">
        <v>0</v>
      </c>
      <c r="AA9" s="3">
        <v>0</v>
      </c>
      <c r="AB9" s="3">
        <v>0</v>
      </c>
      <c r="AC9" s="3" t="s">
        <v>506</v>
      </c>
      <c r="AD9" s="3" t="s">
        <v>150</v>
      </c>
      <c r="AE9" s="3">
        <v>1.5</v>
      </c>
      <c r="AF9" s="3">
        <v>55</v>
      </c>
    </row>
    <row r="10" ht="75" spans="1:32">
      <c r="A10" s="3" t="s">
        <v>507</v>
      </c>
      <c r="B10" t="str">
        <f>_xlfn.DISPIMG("ID_533F2CCFB42B4FC6980A34BD9DA05425",1)</f>
        <v>=DISPIMG("ID_533F2CCFB42B4FC6980A34BD9DA05425",1)</v>
      </c>
      <c r="C10" t="s">
        <v>490</v>
      </c>
      <c r="D10" s="3">
        <v>69</v>
      </c>
      <c r="E10" s="3">
        <v>0</v>
      </c>
      <c r="F10" s="3">
        <v>0</v>
      </c>
      <c r="G10" s="3">
        <v>0</v>
      </c>
      <c r="H10" s="3">
        <v>0</v>
      </c>
      <c r="I10" s="3">
        <v>100</v>
      </c>
      <c r="J10" s="3" t="s">
        <v>35</v>
      </c>
      <c r="K10" s="3" t="s">
        <v>35</v>
      </c>
      <c r="L10" s="3">
        <v>52</v>
      </c>
      <c r="M10" s="3">
        <v>63</v>
      </c>
      <c r="N10" s="3">
        <v>46</v>
      </c>
      <c r="O10" s="3">
        <v>36</v>
      </c>
      <c r="P10" s="3">
        <v>25</v>
      </c>
      <c r="Q10" s="3" t="s">
        <v>504</v>
      </c>
      <c r="R10" s="3">
        <v>0</v>
      </c>
      <c r="S10" s="3">
        <v>0</v>
      </c>
      <c r="T10" s="3">
        <v>0</v>
      </c>
      <c r="U10" s="3" t="s">
        <v>34</v>
      </c>
      <c r="V10" s="3" t="s">
        <v>35</v>
      </c>
      <c r="W10" s="3" t="s">
        <v>35</v>
      </c>
      <c r="X10" s="3" t="s">
        <v>35</v>
      </c>
      <c r="Y10" s="3">
        <v>10</v>
      </c>
      <c r="Z10" s="3">
        <v>0</v>
      </c>
      <c r="AA10" s="3">
        <v>0</v>
      </c>
      <c r="AB10" s="3">
        <v>0</v>
      </c>
      <c r="AC10" s="3" t="s">
        <v>158</v>
      </c>
      <c r="AD10" s="3" t="s">
        <v>150</v>
      </c>
      <c r="AE10" s="3">
        <v>1.5</v>
      </c>
      <c r="AF10" s="3">
        <v>55</v>
      </c>
    </row>
    <row r="11" ht="75" spans="1:32">
      <c r="A11" s="3" t="s">
        <v>508</v>
      </c>
      <c r="B11" t="str">
        <f>_xlfn.DISPIMG("ID_287AB4EFDA214FAEB288DA7BA4108669",1)</f>
        <v>=DISPIMG("ID_287AB4EFDA214FAEB288DA7BA4108669",1)</v>
      </c>
      <c r="C11" t="s">
        <v>490</v>
      </c>
      <c r="D11" s="3">
        <v>69</v>
      </c>
      <c r="E11" s="3">
        <v>0</v>
      </c>
      <c r="F11" s="3">
        <v>0</v>
      </c>
      <c r="G11" s="3">
        <v>0</v>
      </c>
      <c r="H11" s="3">
        <v>0</v>
      </c>
      <c r="I11" s="3">
        <v>100</v>
      </c>
      <c r="J11" s="3" t="s">
        <v>35</v>
      </c>
      <c r="K11" s="3" t="s">
        <v>35</v>
      </c>
      <c r="L11" s="3">
        <v>52</v>
      </c>
      <c r="M11" s="3">
        <v>58</v>
      </c>
      <c r="N11" s="3">
        <v>46</v>
      </c>
      <c r="O11" s="3">
        <v>36</v>
      </c>
      <c r="P11" s="3">
        <v>32</v>
      </c>
      <c r="Q11" s="3" t="s">
        <v>504</v>
      </c>
      <c r="R11" s="3">
        <v>0</v>
      </c>
      <c r="S11" s="3">
        <v>0</v>
      </c>
      <c r="T11" s="3">
        <v>0</v>
      </c>
      <c r="U11" s="3" t="s">
        <v>34</v>
      </c>
      <c r="V11" s="3" t="s">
        <v>35</v>
      </c>
      <c r="W11" s="3" t="s">
        <v>35</v>
      </c>
      <c r="X11" s="3" t="s">
        <v>35</v>
      </c>
      <c r="Y11" s="3">
        <v>10</v>
      </c>
      <c r="Z11" s="3">
        <v>0</v>
      </c>
      <c r="AA11" s="3">
        <v>0</v>
      </c>
      <c r="AB11" s="3">
        <v>0</v>
      </c>
      <c r="AC11" s="3" t="s">
        <v>158</v>
      </c>
      <c r="AD11" s="3" t="s">
        <v>150</v>
      </c>
      <c r="AE11" s="3">
        <v>1.5</v>
      </c>
      <c r="AF11" s="3">
        <v>55</v>
      </c>
    </row>
    <row r="12" ht="75" spans="1:32">
      <c r="A12" s="3" t="s">
        <v>509</v>
      </c>
      <c r="B12" t="str">
        <f>_xlfn.DISPIMG("ID_B0E6B0DE21E44428B4F714EDB6296451",1)</f>
        <v>=DISPIMG("ID_B0E6B0DE21E44428B4F714EDB6296451",1)</v>
      </c>
      <c r="C12" t="s">
        <v>490</v>
      </c>
      <c r="D12" s="3">
        <v>53</v>
      </c>
      <c r="E12" s="3">
        <v>0</v>
      </c>
      <c r="F12" s="3">
        <v>0</v>
      </c>
      <c r="G12" s="3">
        <v>0</v>
      </c>
      <c r="H12" s="3">
        <v>0</v>
      </c>
      <c r="I12" s="3">
        <v>100</v>
      </c>
      <c r="J12" s="3" t="s">
        <v>35</v>
      </c>
      <c r="K12" s="3" t="s">
        <v>35</v>
      </c>
      <c r="L12" s="3">
        <v>41</v>
      </c>
      <c r="M12" s="3">
        <v>24</v>
      </c>
      <c r="N12" s="3">
        <v>27</v>
      </c>
      <c r="O12" s="3">
        <v>23</v>
      </c>
      <c r="P12" s="3">
        <v>25</v>
      </c>
      <c r="Q12" s="3" t="s">
        <v>510</v>
      </c>
      <c r="R12" s="3">
        <v>0</v>
      </c>
      <c r="S12" s="3">
        <v>0</v>
      </c>
      <c r="T12" s="3">
        <v>0</v>
      </c>
      <c r="U12" s="3" t="s">
        <v>34</v>
      </c>
      <c r="V12" s="3" t="s">
        <v>35</v>
      </c>
      <c r="W12" s="3" t="s">
        <v>35</v>
      </c>
      <c r="X12" s="3" t="s">
        <v>35</v>
      </c>
      <c r="Y12" s="3">
        <v>8</v>
      </c>
      <c r="Z12" s="3">
        <v>0</v>
      </c>
      <c r="AA12" s="3">
        <v>0</v>
      </c>
      <c r="AB12" s="3">
        <v>0</v>
      </c>
      <c r="AC12" s="3" t="s">
        <v>500</v>
      </c>
      <c r="AD12" s="3" t="s">
        <v>62</v>
      </c>
      <c r="AE12" s="3">
        <v>1</v>
      </c>
      <c r="AF12" s="3">
        <v>40</v>
      </c>
    </row>
    <row r="13" ht="75" spans="1:32">
      <c r="A13" s="3" t="s">
        <v>511</v>
      </c>
      <c r="B13" t="str">
        <f>_xlfn.DISPIMG("ID_9F4578FF2BAB41E8A17A987FC648DBE8",1)</f>
        <v>=DISPIMG("ID_9F4578FF2BAB41E8A17A987FC648DBE8",1)</v>
      </c>
      <c r="C13" t="s">
        <v>490</v>
      </c>
      <c r="D13" s="3">
        <v>69</v>
      </c>
      <c r="E13" s="3">
        <v>0</v>
      </c>
      <c r="F13" s="3">
        <v>0</v>
      </c>
      <c r="G13" s="3">
        <v>0</v>
      </c>
      <c r="H13" s="3">
        <v>0</v>
      </c>
      <c r="I13" s="3">
        <v>100</v>
      </c>
      <c r="J13" s="3" t="s">
        <v>35</v>
      </c>
      <c r="K13" s="3" t="s">
        <v>35</v>
      </c>
      <c r="L13" s="3">
        <v>52</v>
      </c>
      <c r="M13" s="3">
        <v>38</v>
      </c>
      <c r="N13" s="3">
        <v>40</v>
      </c>
      <c r="O13" s="3">
        <v>42</v>
      </c>
      <c r="P13" s="3">
        <v>32</v>
      </c>
      <c r="Q13" s="3" t="s">
        <v>502</v>
      </c>
      <c r="R13" s="3">
        <v>0</v>
      </c>
      <c r="S13" s="3">
        <v>0</v>
      </c>
      <c r="T13" s="3">
        <v>0</v>
      </c>
      <c r="U13" s="3" t="s">
        <v>34</v>
      </c>
      <c r="V13" s="3" t="s">
        <v>35</v>
      </c>
      <c r="W13" s="3" t="s">
        <v>35</v>
      </c>
      <c r="X13" s="3" t="s">
        <v>35</v>
      </c>
      <c r="Y13" s="3">
        <v>7</v>
      </c>
      <c r="Z13" s="3">
        <v>0</v>
      </c>
      <c r="AA13" s="3">
        <v>0</v>
      </c>
      <c r="AB13" s="3">
        <v>0</v>
      </c>
      <c r="AC13" s="3" t="s">
        <v>158</v>
      </c>
      <c r="AD13" s="3" t="s">
        <v>150</v>
      </c>
      <c r="AE13" s="3">
        <v>1.5</v>
      </c>
      <c r="AF13" s="3">
        <v>55</v>
      </c>
    </row>
    <row r="14" ht="75" spans="1:32">
      <c r="A14" s="3" t="s">
        <v>512</v>
      </c>
      <c r="B14" t="str">
        <f>_xlfn.DISPIMG("ID_DB39C8B5110A45C89885104C4A9BB911",1)</f>
        <v>=DISPIMG("ID_DB39C8B5110A45C89885104C4A9BB911",1)</v>
      </c>
      <c r="C14" t="s">
        <v>490</v>
      </c>
      <c r="D14" s="3">
        <v>69</v>
      </c>
      <c r="E14" s="3">
        <v>0</v>
      </c>
      <c r="F14" s="3">
        <v>0</v>
      </c>
      <c r="G14" s="3">
        <v>0</v>
      </c>
      <c r="H14" s="3">
        <v>0</v>
      </c>
      <c r="I14" s="3">
        <v>100</v>
      </c>
      <c r="J14" s="3" t="s">
        <v>35</v>
      </c>
      <c r="K14" s="3" t="s">
        <v>35</v>
      </c>
      <c r="L14" s="3">
        <v>52</v>
      </c>
      <c r="M14" s="3">
        <v>63</v>
      </c>
      <c r="N14" s="3">
        <v>40</v>
      </c>
      <c r="O14" s="3">
        <v>36</v>
      </c>
      <c r="P14" s="3">
        <v>39</v>
      </c>
      <c r="Q14" s="3" t="s">
        <v>504</v>
      </c>
      <c r="R14" s="3">
        <v>0</v>
      </c>
      <c r="S14" s="3">
        <v>0</v>
      </c>
      <c r="T14" s="3">
        <v>0</v>
      </c>
      <c r="U14" s="3" t="s">
        <v>34</v>
      </c>
      <c r="V14" s="3" t="s">
        <v>35</v>
      </c>
      <c r="W14" s="3" t="s">
        <v>35</v>
      </c>
      <c r="X14" s="3" t="s">
        <v>35</v>
      </c>
      <c r="Y14" s="3">
        <v>7</v>
      </c>
      <c r="Z14" s="3">
        <v>0</v>
      </c>
      <c r="AA14" s="3">
        <v>0</v>
      </c>
      <c r="AB14" s="3">
        <v>0</v>
      </c>
      <c r="AC14" s="3" t="s">
        <v>158</v>
      </c>
      <c r="AD14" s="3" t="s">
        <v>150</v>
      </c>
      <c r="AE14" s="3">
        <v>1.5</v>
      </c>
      <c r="AF14" s="3">
        <v>55</v>
      </c>
    </row>
    <row r="15" ht="75" spans="1:32">
      <c r="A15" s="3" t="s">
        <v>513</v>
      </c>
      <c r="B15" t="str">
        <f>_xlfn.DISPIMG("ID_20170BD776904EA4A597AA02680E264F",1)</f>
        <v>=DISPIMG("ID_20170BD776904EA4A597AA02680E264F",1)</v>
      </c>
      <c r="C15" t="s">
        <v>490</v>
      </c>
      <c r="D15" s="3">
        <v>81</v>
      </c>
      <c r="E15" s="3">
        <v>0</v>
      </c>
      <c r="F15" s="3">
        <v>0</v>
      </c>
      <c r="G15" s="3">
        <v>0</v>
      </c>
      <c r="H15" s="3">
        <v>0</v>
      </c>
      <c r="I15" s="3">
        <v>100</v>
      </c>
      <c r="J15" s="3" t="s">
        <v>35</v>
      </c>
      <c r="K15" s="3" t="s">
        <v>35</v>
      </c>
      <c r="L15" s="3">
        <v>85</v>
      </c>
      <c r="M15" s="3">
        <v>40</v>
      </c>
      <c r="N15" s="3">
        <v>41</v>
      </c>
      <c r="O15" s="3">
        <v>22</v>
      </c>
      <c r="P15" s="3">
        <v>39</v>
      </c>
      <c r="Q15" s="3" t="s">
        <v>514</v>
      </c>
      <c r="R15" s="3">
        <v>0</v>
      </c>
      <c r="S15" s="3">
        <v>0</v>
      </c>
      <c r="T15" s="3">
        <v>0</v>
      </c>
      <c r="U15" s="3" t="s">
        <v>43</v>
      </c>
      <c r="V15" s="3" t="s">
        <v>35</v>
      </c>
      <c r="W15" s="3" t="s">
        <v>35</v>
      </c>
      <c r="X15" s="3" t="s">
        <v>35</v>
      </c>
      <c r="Y15" s="3">
        <v>8</v>
      </c>
      <c r="Z15" s="3">
        <v>0</v>
      </c>
      <c r="AA15" s="3">
        <v>0</v>
      </c>
      <c r="AB15" s="3">
        <v>0</v>
      </c>
      <c r="AC15" s="3" t="s">
        <v>506</v>
      </c>
      <c r="AD15" s="3" t="s">
        <v>150</v>
      </c>
      <c r="AE15" s="3">
        <v>3</v>
      </c>
      <c r="AF15" s="3">
        <v>100</v>
      </c>
    </row>
    <row r="16" ht="75" spans="1:32">
      <c r="A16" s="3" t="s">
        <v>515</v>
      </c>
      <c r="B16" t="str">
        <f>_xlfn.DISPIMG("ID_D506E1AEA0E94EC0AAA5D67AAC34C7CB",1)</f>
        <v>=DISPIMG("ID_D506E1AEA0E94EC0AAA5D67AAC34C7CB",1)</v>
      </c>
      <c r="C16" t="s">
        <v>490</v>
      </c>
      <c r="D16" s="3">
        <v>76</v>
      </c>
      <c r="E16" s="3">
        <v>0</v>
      </c>
      <c r="F16" s="3">
        <v>0</v>
      </c>
      <c r="G16" s="3">
        <v>0</v>
      </c>
      <c r="H16" s="3">
        <v>0</v>
      </c>
      <c r="I16" s="3">
        <v>100</v>
      </c>
      <c r="J16" s="3" t="s">
        <v>35</v>
      </c>
      <c r="K16" s="3" t="s">
        <v>35</v>
      </c>
      <c r="L16" s="3">
        <v>68</v>
      </c>
      <c r="M16" s="3">
        <v>69</v>
      </c>
      <c r="N16" s="3">
        <v>63</v>
      </c>
      <c r="O16" s="3">
        <v>44</v>
      </c>
      <c r="P16" s="3">
        <v>61</v>
      </c>
      <c r="Q16" s="3" t="s">
        <v>516</v>
      </c>
      <c r="R16" s="3">
        <v>0</v>
      </c>
      <c r="S16" s="3">
        <v>0</v>
      </c>
      <c r="T16" s="3">
        <v>0</v>
      </c>
      <c r="U16" s="3" t="s">
        <v>43</v>
      </c>
      <c r="V16" s="3" t="s">
        <v>35</v>
      </c>
      <c r="W16" s="3" t="s">
        <v>35</v>
      </c>
      <c r="X16" s="3" t="s">
        <v>35</v>
      </c>
      <c r="Y16" s="3">
        <v>12</v>
      </c>
      <c r="Z16" s="3">
        <v>0</v>
      </c>
      <c r="AA16" s="3">
        <v>0</v>
      </c>
      <c r="AB16" s="3">
        <v>0</v>
      </c>
      <c r="AC16" s="3" t="s">
        <v>158</v>
      </c>
      <c r="AD16" s="3" t="s">
        <v>150</v>
      </c>
      <c r="AE16" s="3">
        <v>3</v>
      </c>
      <c r="AF16" s="3">
        <v>70</v>
      </c>
    </row>
    <row r="17" ht="75" spans="1:32">
      <c r="A17" s="3" t="s">
        <v>517</v>
      </c>
      <c r="B17" t="str">
        <f>_xlfn.DISPIMG("ID_525EC62D81054B04A1FB7295D2C7FD02",1)</f>
        <v>=DISPIMG("ID_525EC62D81054B04A1FB7295D2C7FD02",1)</v>
      </c>
      <c r="C17" t="s">
        <v>490</v>
      </c>
      <c r="D17" s="3">
        <v>74</v>
      </c>
      <c r="E17" s="3">
        <v>0</v>
      </c>
      <c r="F17" s="3">
        <v>0</v>
      </c>
      <c r="G17" s="3">
        <v>0</v>
      </c>
      <c r="H17" s="3">
        <v>0</v>
      </c>
      <c r="I17" s="3">
        <v>100</v>
      </c>
      <c r="J17" s="3" t="s">
        <v>35</v>
      </c>
      <c r="K17" s="3" t="s">
        <v>35</v>
      </c>
      <c r="L17" s="3">
        <v>59</v>
      </c>
      <c r="M17" s="3">
        <v>45</v>
      </c>
      <c r="N17" s="3">
        <v>39</v>
      </c>
      <c r="O17" s="3">
        <v>20</v>
      </c>
      <c r="P17" s="3">
        <v>37</v>
      </c>
      <c r="Q17" s="3" t="s">
        <v>514</v>
      </c>
      <c r="R17" s="3">
        <v>0</v>
      </c>
      <c r="S17" s="3">
        <v>0</v>
      </c>
      <c r="T17" s="3">
        <v>0</v>
      </c>
      <c r="U17" s="3" t="s">
        <v>43</v>
      </c>
      <c r="V17" s="3" t="s">
        <v>35</v>
      </c>
      <c r="W17" s="3" t="s">
        <v>35</v>
      </c>
      <c r="X17" s="3" t="s">
        <v>35</v>
      </c>
      <c r="Y17" s="3">
        <v>10</v>
      </c>
      <c r="Z17" s="3">
        <v>0</v>
      </c>
      <c r="AA17" s="3">
        <v>0</v>
      </c>
      <c r="AB17" s="3">
        <v>0</v>
      </c>
      <c r="AC17" s="3" t="s">
        <v>158</v>
      </c>
      <c r="AD17" s="3" t="s">
        <v>150</v>
      </c>
      <c r="AE17" s="3">
        <v>2.5</v>
      </c>
      <c r="AF17" s="3">
        <v>85</v>
      </c>
    </row>
    <row r="18" ht="75" spans="1:32">
      <c r="A18" s="3" t="s">
        <v>518</v>
      </c>
      <c r="B18" t="str">
        <f>_xlfn.DISPIMG("ID_D194C5A0DE734B8EB48909CA15D0C7C9",1)</f>
        <v>=DISPIMG("ID_D194C5A0DE734B8EB48909CA15D0C7C9",1)</v>
      </c>
      <c r="C18" t="s">
        <v>490</v>
      </c>
      <c r="D18" s="3">
        <v>82</v>
      </c>
      <c r="E18" s="3">
        <v>0</v>
      </c>
      <c r="F18" s="3">
        <v>0</v>
      </c>
      <c r="G18" s="3">
        <v>0</v>
      </c>
      <c r="H18" s="3">
        <v>0</v>
      </c>
      <c r="I18" s="3">
        <v>100</v>
      </c>
      <c r="J18" s="3" t="s">
        <v>35</v>
      </c>
      <c r="K18" s="3" t="s">
        <v>35</v>
      </c>
      <c r="L18" s="3">
        <v>54</v>
      </c>
      <c r="M18" s="3">
        <v>81</v>
      </c>
      <c r="N18" s="3">
        <v>49</v>
      </c>
      <c r="O18" s="3">
        <v>44</v>
      </c>
      <c r="P18" s="3">
        <v>47</v>
      </c>
      <c r="Q18" s="3" t="s">
        <v>519</v>
      </c>
      <c r="R18" s="3">
        <v>0</v>
      </c>
      <c r="S18" s="3">
        <v>0</v>
      </c>
      <c r="T18" s="3">
        <v>0</v>
      </c>
      <c r="U18" s="3" t="s">
        <v>43</v>
      </c>
      <c r="V18" s="3" t="s">
        <v>35</v>
      </c>
      <c r="W18" s="3" t="s">
        <v>35</v>
      </c>
      <c r="X18" s="3" t="s">
        <v>35</v>
      </c>
      <c r="Y18" s="3">
        <v>10</v>
      </c>
      <c r="Z18" s="3">
        <v>0</v>
      </c>
      <c r="AA18" s="3">
        <v>0</v>
      </c>
      <c r="AB18" s="3">
        <v>0</v>
      </c>
      <c r="AC18" s="3" t="s">
        <v>520</v>
      </c>
      <c r="AD18" s="3" t="s">
        <v>150</v>
      </c>
      <c r="AE18" s="3">
        <v>1.5</v>
      </c>
      <c r="AF18" s="3">
        <v>85</v>
      </c>
    </row>
    <row r="19" ht="75" spans="1:32">
      <c r="A19" s="3" t="s">
        <v>521</v>
      </c>
      <c r="B19" t="str">
        <f>_xlfn.DISPIMG("ID_186C2450EDDA42A7A00E3F84A37EB776",1)</f>
        <v>=DISPIMG("ID_186C2450EDDA42A7A00E3F84A37EB776",1)</v>
      </c>
      <c r="C19" t="s">
        <v>490</v>
      </c>
      <c r="D19" s="3">
        <v>116</v>
      </c>
      <c r="E19" s="3">
        <v>0</v>
      </c>
      <c r="F19" s="3">
        <v>12</v>
      </c>
      <c r="G19" s="3">
        <v>0</v>
      </c>
      <c r="H19" s="3">
        <v>0</v>
      </c>
      <c r="I19" s="3">
        <v>100</v>
      </c>
      <c r="J19" s="3" t="s">
        <v>35</v>
      </c>
      <c r="K19" s="3" t="s">
        <v>35</v>
      </c>
      <c r="L19" s="3">
        <v>70</v>
      </c>
      <c r="M19" s="3">
        <v>65</v>
      </c>
      <c r="N19" s="3">
        <v>90</v>
      </c>
      <c r="O19" s="3">
        <v>35</v>
      </c>
      <c r="P19" s="3">
        <v>55</v>
      </c>
      <c r="Q19" s="3">
        <v>40</v>
      </c>
      <c r="R19" s="3">
        <v>0</v>
      </c>
      <c r="S19" s="3">
        <v>0</v>
      </c>
      <c r="T19" s="3">
        <v>0</v>
      </c>
      <c r="U19" s="3" t="s">
        <v>43</v>
      </c>
      <c r="V19" s="3" t="s">
        <v>35</v>
      </c>
      <c r="W19" s="3" t="s">
        <v>34</v>
      </c>
      <c r="X19" s="3" t="s">
        <v>34</v>
      </c>
      <c r="Y19" s="3">
        <v>12</v>
      </c>
      <c r="Z19" s="3">
        <v>0</v>
      </c>
      <c r="AA19" s="3">
        <v>11</v>
      </c>
      <c r="AB19" s="3">
        <v>12</v>
      </c>
      <c r="AC19" s="3" t="s">
        <v>522</v>
      </c>
      <c r="AD19" s="3" t="s">
        <v>62</v>
      </c>
      <c r="AE19" s="3">
        <v>4.5</v>
      </c>
      <c r="AF19" s="3">
        <v>85</v>
      </c>
    </row>
    <row r="20" ht="75" spans="1:32">
      <c r="A20" s="3" t="s">
        <v>523</v>
      </c>
      <c r="B20" t="str">
        <f>_xlfn.DISPIMG("ID_0B1D2451014E4F38A91B23C32D0D33DD",1)</f>
        <v>=DISPIMG("ID_0B1D2451014E4F38A91B23C32D0D33DD",1)</v>
      </c>
      <c r="C20" t="s">
        <v>524</v>
      </c>
      <c r="D20" s="3">
        <v>79</v>
      </c>
      <c r="E20" s="3">
        <v>0</v>
      </c>
      <c r="F20" s="3">
        <v>0</v>
      </c>
      <c r="G20" s="3">
        <v>0</v>
      </c>
      <c r="H20" s="3">
        <v>0</v>
      </c>
      <c r="I20" s="3">
        <v>100</v>
      </c>
      <c r="J20" s="3" t="s">
        <v>35</v>
      </c>
      <c r="K20" s="3" t="s">
        <v>35</v>
      </c>
      <c r="L20" s="3">
        <v>86</v>
      </c>
      <c r="M20" s="3">
        <v>68</v>
      </c>
      <c r="N20" s="3">
        <v>50</v>
      </c>
      <c r="O20" s="3">
        <v>45</v>
      </c>
      <c r="P20" s="3">
        <v>41</v>
      </c>
      <c r="Q20" s="3" t="s">
        <v>525</v>
      </c>
      <c r="R20" s="3">
        <v>0</v>
      </c>
      <c r="S20" s="3">
        <v>0</v>
      </c>
      <c r="T20" s="3">
        <v>0</v>
      </c>
      <c r="U20" s="3" t="s">
        <v>43</v>
      </c>
      <c r="V20" s="3" t="s">
        <v>35</v>
      </c>
      <c r="W20" s="3" t="s">
        <v>35</v>
      </c>
      <c r="X20" s="3" t="s">
        <v>35</v>
      </c>
      <c r="Y20" s="3">
        <v>8</v>
      </c>
      <c r="Z20" s="3">
        <v>0</v>
      </c>
      <c r="AA20" s="3">
        <v>0</v>
      </c>
      <c r="AB20" s="3">
        <v>0</v>
      </c>
      <c r="AC20" s="3" t="s">
        <v>158</v>
      </c>
      <c r="AD20" s="3" t="s">
        <v>150</v>
      </c>
      <c r="AE20" s="3">
        <v>3.5</v>
      </c>
      <c r="AF20" s="3">
        <v>70</v>
      </c>
    </row>
    <row r="21" ht="75" spans="1:32">
      <c r="A21" s="3" t="s">
        <v>526</v>
      </c>
      <c r="B21" t="str">
        <f>_xlfn.DISPIMG("ID_7824D2AEDAC94D5DA8A13E3314ED0EDC",1)</f>
        <v>=DISPIMG("ID_7824D2AEDAC94D5DA8A13E3314ED0EDC",1)</v>
      </c>
      <c r="C21" t="s">
        <v>524</v>
      </c>
      <c r="D21" s="3">
        <v>78</v>
      </c>
      <c r="E21" s="3">
        <v>0</v>
      </c>
      <c r="F21" s="3">
        <v>0</v>
      </c>
      <c r="G21" s="3">
        <v>0</v>
      </c>
      <c r="H21" s="3">
        <v>0</v>
      </c>
      <c r="I21" s="3">
        <v>100</v>
      </c>
      <c r="J21" s="3" t="s">
        <v>35</v>
      </c>
      <c r="K21" s="3" t="s">
        <v>35</v>
      </c>
      <c r="L21" s="3">
        <v>85</v>
      </c>
      <c r="M21" s="3">
        <v>54</v>
      </c>
      <c r="N21" s="3">
        <v>56</v>
      </c>
      <c r="O21" s="3">
        <v>58</v>
      </c>
      <c r="P21" s="3">
        <v>48</v>
      </c>
      <c r="Q21" s="3" t="s">
        <v>525</v>
      </c>
      <c r="R21" s="3">
        <v>0</v>
      </c>
      <c r="S21" s="3">
        <v>0</v>
      </c>
      <c r="T21" s="3">
        <v>0</v>
      </c>
      <c r="U21" s="3" t="s">
        <v>43</v>
      </c>
      <c r="V21" s="3" t="s">
        <v>35</v>
      </c>
      <c r="W21" s="3" t="s">
        <v>35</v>
      </c>
      <c r="X21" s="3" t="s">
        <v>35</v>
      </c>
      <c r="Y21" s="3">
        <v>8</v>
      </c>
      <c r="Z21" s="3">
        <v>0</v>
      </c>
      <c r="AA21" s="3">
        <v>0</v>
      </c>
      <c r="AB21" s="3">
        <v>0</v>
      </c>
      <c r="AC21" s="3" t="s">
        <v>158</v>
      </c>
      <c r="AD21" s="3" t="s">
        <v>150</v>
      </c>
      <c r="AE21" s="3">
        <v>3.5</v>
      </c>
      <c r="AF21" s="3">
        <v>75</v>
      </c>
    </row>
    <row r="22" ht="75" spans="1:32">
      <c r="A22" s="3" t="s">
        <v>527</v>
      </c>
      <c r="B22" t="str">
        <f>_xlfn.DISPIMG("ID_BCC623A1B2BA4DDDA8D1E8138E84D19F",1)</f>
        <v>=DISPIMG("ID_BCC623A1B2BA4DDDA8D1E8138E84D19F",1)</v>
      </c>
      <c r="C22" t="s">
        <v>524</v>
      </c>
      <c r="D22" s="3">
        <v>78</v>
      </c>
      <c r="E22" s="3">
        <v>0</v>
      </c>
      <c r="F22" s="3">
        <v>0</v>
      </c>
      <c r="G22" s="3">
        <v>0</v>
      </c>
      <c r="H22" s="3">
        <v>0</v>
      </c>
      <c r="I22" s="3">
        <v>100</v>
      </c>
      <c r="J22" s="3" t="s">
        <v>35</v>
      </c>
      <c r="K22" s="3" t="s">
        <v>35</v>
      </c>
      <c r="L22" s="3">
        <v>57</v>
      </c>
      <c r="M22" s="3">
        <v>66</v>
      </c>
      <c r="N22" s="3">
        <v>48</v>
      </c>
      <c r="O22" s="3">
        <v>44</v>
      </c>
      <c r="P22" s="3">
        <v>39</v>
      </c>
      <c r="Q22" s="3" t="s">
        <v>528</v>
      </c>
      <c r="R22" s="3">
        <v>0</v>
      </c>
      <c r="S22" s="3">
        <v>0</v>
      </c>
      <c r="T22" s="3">
        <v>0</v>
      </c>
      <c r="U22" s="3" t="s">
        <v>43</v>
      </c>
      <c r="V22" s="3" t="s">
        <v>35</v>
      </c>
      <c r="W22" s="3" t="s">
        <v>35</v>
      </c>
      <c r="X22" s="3" t="s">
        <v>35</v>
      </c>
      <c r="Y22" s="3">
        <v>8</v>
      </c>
      <c r="Z22" s="3">
        <v>0</v>
      </c>
      <c r="AA22" s="3">
        <v>0</v>
      </c>
      <c r="AB22" s="3">
        <v>0</v>
      </c>
      <c r="AC22" s="3" t="s">
        <v>158</v>
      </c>
      <c r="AD22" s="3" t="s">
        <v>150</v>
      </c>
      <c r="AE22" s="3">
        <v>2.5</v>
      </c>
      <c r="AF22" s="3">
        <v>70</v>
      </c>
    </row>
    <row r="23" ht="75" spans="1:32">
      <c r="A23" s="3" t="s">
        <v>529</v>
      </c>
      <c r="B23" t="str">
        <f>_xlfn.DISPIMG("ID_A9C132FACCFC4F1AA8699EF2CC9BE7CC",1)</f>
        <v>=DISPIMG("ID_A9C132FACCFC4F1AA8699EF2CC9BE7CC",1)</v>
      </c>
      <c r="C23" t="s">
        <v>524</v>
      </c>
      <c r="D23" s="3">
        <v>80</v>
      </c>
      <c r="E23" s="3">
        <v>0</v>
      </c>
      <c r="F23" s="3">
        <v>0</v>
      </c>
      <c r="G23" s="3">
        <v>0</v>
      </c>
      <c r="H23" s="3">
        <v>0</v>
      </c>
      <c r="I23" s="3">
        <v>100</v>
      </c>
      <c r="J23" s="3" t="s">
        <v>35</v>
      </c>
      <c r="K23" s="3" t="s">
        <v>35</v>
      </c>
      <c r="L23" s="3">
        <v>100</v>
      </c>
      <c r="M23" s="3">
        <v>50</v>
      </c>
      <c r="N23" s="3">
        <v>52</v>
      </c>
      <c r="O23" s="3">
        <v>33</v>
      </c>
      <c r="P23" s="3">
        <v>50</v>
      </c>
      <c r="Q23" s="3" t="s">
        <v>530</v>
      </c>
      <c r="R23" s="3">
        <v>0</v>
      </c>
      <c r="S23" s="3">
        <v>0</v>
      </c>
      <c r="T23" s="3">
        <v>0</v>
      </c>
      <c r="U23" s="3" t="s">
        <v>43</v>
      </c>
      <c r="V23" s="3" t="s">
        <v>35</v>
      </c>
      <c r="W23" s="3" t="s">
        <v>35</v>
      </c>
      <c r="X23" s="3" t="s">
        <v>35</v>
      </c>
      <c r="Y23" s="3">
        <v>12</v>
      </c>
      <c r="Z23" s="3">
        <v>0</v>
      </c>
      <c r="AA23" s="3">
        <v>0</v>
      </c>
      <c r="AB23" s="3">
        <v>0</v>
      </c>
      <c r="AC23" s="3" t="s">
        <v>158</v>
      </c>
      <c r="AD23" s="3" t="s">
        <v>150</v>
      </c>
      <c r="AE23" s="3">
        <v>4.5</v>
      </c>
      <c r="AF23" s="3">
        <v>80</v>
      </c>
    </row>
    <row r="24" ht="75" spans="1:32">
      <c r="A24" s="3" t="s">
        <v>531</v>
      </c>
      <c r="B24" t="str">
        <f>_xlfn.DISPIMG("ID_C2F485770A6E4CADA290D6DD9AD96D08",1)</f>
        <v>=DISPIMG("ID_C2F485770A6E4CADA290D6DD9AD96D08",1)</v>
      </c>
      <c r="C24" t="s">
        <v>524</v>
      </c>
      <c r="D24" s="3">
        <v>83</v>
      </c>
      <c r="E24" s="3">
        <v>0</v>
      </c>
      <c r="F24" s="3">
        <v>0</v>
      </c>
      <c r="G24" s="3">
        <v>0</v>
      </c>
      <c r="H24" s="3">
        <v>0</v>
      </c>
      <c r="I24" s="3">
        <v>100</v>
      </c>
      <c r="J24" s="3" t="s">
        <v>35</v>
      </c>
      <c r="K24" s="3" t="s">
        <v>35</v>
      </c>
      <c r="L24" s="3">
        <v>100</v>
      </c>
      <c r="M24" s="3">
        <v>59</v>
      </c>
      <c r="N24" s="3">
        <v>53</v>
      </c>
      <c r="O24" s="3">
        <v>87</v>
      </c>
      <c r="P24" s="3">
        <v>51</v>
      </c>
      <c r="Q24" s="3" t="s">
        <v>532</v>
      </c>
      <c r="R24" s="3">
        <v>0</v>
      </c>
      <c r="S24" s="3">
        <v>0</v>
      </c>
      <c r="T24" s="3">
        <v>0</v>
      </c>
      <c r="U24" s="3" t="s">
        <v>43</v>
      </c>
      <c r="V24" s="3" t="s">
        <v>35</v>
      </c>
      <c r="W24" s="3" t="s">
        <v>35</v>
      </c>
      <c r="X24" s="3" t="s">
        <v>35</v>
      </c>
      <c r="Y24" s="3">
        <v>18</v>
      </c>
      <c r="Z24" s="3">
        <v>0</v>
      </c>
      <c r="AA24" s="3">
        <v>0</v>
      </c>
      <c r="AB24" s="3">
        <v>0</v>
      </c>
      <c r="AC24" s="3" t="s">
        <v>158</v>
      </c>
      <c r="AD24" s="3" t="s">
        <v>150</v>
      </c>
      <c r="AE24" s="3">
        <v>6</v>
      </c>
      <c r="AF24" s="3">
        <v>75</v>
      </c>
    </row>
    <row r="25" ht="75" spans="1:32">
      <c r="A25" s="3" t="s">
        <v>533</v>
      </c>
      <c r="B25" t="str">
        <f>_xlfn.DISPIMG("ID_6FF2860B1EE24F98A12143DB7B3694F6",1)</f>
        <v>=DISPIMG("ID_6FF2860B1EE24F98A12143DB7B3694F6",1)</v>
      </c>
      <c r="C25" t="s">
        <v>524</v>
      </c>
      <c r="D25" s="3">
        <v>79</v>
      </c>
      <c r="E25" s="3">
        <v>0</v>
      </c>
      <c r="F25" s="3">
        <v>0</v>
      </c>
      <c r="G25" s="3">
        <v>0</v>
      </c>
      <c r="H25" s="3">
        <v>0</v>
      </c>
      <c r="I25" s="3">
        <v>100</v>
      </c>
      <c r="J25" s="3" t="s">
        <v>35</v>
      </c>
      <c r="K25" s="3" t="s">
        <v>35</v>
      </c>
      <c r="L25" s="3">
        <v>100</v>
      </c>
      <c r="M25" s="3">
        <v>51</v>
      </c>
      <c r="N25" s="3">
        <v>46</v>
      </c>
      <c r="O25" s="3">
        <v>34</v>
      </c>
      <c r="P25" s="3">
        <v>44</v>
      </c>
      <c r="Q25" s="3" t="s">
        <v>514</v>
      </c>
      <c r="R25" s="3">
        <v>0</v>
      </c>
      <c r="S25" s="3">
        <v>0</v>
      </c>
      <c r="T25" s="3">
        <v>0</v>
      </c>
      <c r="U25" s="3" t="s">
        <v>43</v>
      </c>
      <c r="V25" s="3" t="s">
        <v>35</v>
      </c>
      <c r="W25" s="3" t="s">
        <v>35</v>
      </c>
      <c r="X25" s="3" t="s">
        <v>35</v>
      </c>
      <c r="Y25" s="3">
        <v>13</v>
      </c>
      <c r="Z25" s="3">
        <v>0</v>
      </c>
      <c r="AA25" s="3">
        <v>0</v>
      </c>
      <c r="AB25" s="3">
        <v>0</v>
      </c>
      <c r="AC25" s="3" t="s">
        <v>158</v>
      </c>
      <c r="AD25" s="3" t="s">
        <v>150</v>
      </c>
      <c r="AE25" s="3">
        <v>4.5</v>
      </c>
      <c r="AF25" s="3">
        <v>65</v>
      </c>
    </row>
    <row r="26" ht="75" spans="1:32">
      <c r="A26" s="3" t="s">
        <v>534</v>
      </c>
      <c r="B26" t="str">
        <f>_xlfn.DISPIMG("ID_38DDEB77A76349779E378C13904B9190",1)</f>
        <v>=DISPIMG("ID_38DDEB77A76349779E378C13904B9190",1)</v>
      </c>
      <c r="C26" t="s">
        <v>524</v>
      </c>
      <c r="D26" s="3">
        <v>63</v>
      </c>
      <c r="E26" s="3">
        <v>0</v>
      </c>
      <c r="F26" s="3">
        <v>0</v>
      </c>
      <c r="G26" s="3">
        <v>0</v>
      </c>
      <c r="H26" s="3">
        <v>0</v>
      </c>
      <c r="I26" s="3">
        <v>100</v>
      </c>
      <c r="J26" s="3" t="s">
        <v>35</v>
      </c>
      <c r="K26" s="3" t="s">
        <v>35</v>
      </c>
      <c r="L26" s="3">
        <v>73</v>
      </c>
      <c r="M26" s="3">
        <v>79</v>
      </c>
      <c r="N26" s="3">
        <v>69</v>
      </c>
      <c r="O26" s="3">
        <v>69</v>
      </c>
      <c r="P26" s="3">
        <v>72</v>
      </c>
      <c r="Q26" s="3" t="s">
        <v>535</v>
      </c>
      <c r="R26" s="3">
        <v>0</v>
      </c>
      <c r="S26" s="3">
        <v>0</v>
      </c>
      <c r="T26" s="3">
        <v>0</v>
      </c>
      <c r="U26" s="3" t="s">
        <v>43</v>
      </c>
      <c r="V26" s="3" t="s">
        <v>35</v>
      </c>
      <c r="W26" s="3" t="s">
        <v>35</v>
      </c>
      <c r="X26" s="3" t="s">
        <v>35</v>
      </c>
      <c r="Y26" s="3">
        <v>8</v>
      </c>
      <c r="Z26" s="3">
        <v>12</v>
      </c>
      <c r="AA26" s="3">
        <v>0</v>
      </c>
      <c r="AB26" s="3">
        <v>0</v>
      </c>
      <c r="AC26" s="3" t="s">
        <v>506</v>
      </c>
      <c r="AD26" s="3" t="s">
        <v>150</v>
      </c>
      <c r="AE26" s="3">
        <v>3.5</v>
      </c>
      <c r="AF26" s="3">
        <v>65</v>
      </c>
    </row>
    <row r="27" ht="75" spans="1:32">
      <c r="A27" s="3" t="s">
        <v>536</v>
      </c>
      <c r="B27" t="str">
        <f>_xlfn.DISPIMG("ID_5566CE39BF3F42FFB2B201AD0D3A3E71",1)</f>
        <v>=DISPIMG("ID_5566CE39BF3F42FFB2B201AD0D3A3E71",1)</v>
      </c>
      <c r="C27" t="s">
        <v>524</v>
      </c>
      <c r="D27" s="3">
        <v>56</v>
      </c>
      <c r="E27" s="3">
        <v>0</v>
      </c>
      <c r="F27" s="3">
        <v>0</v>
      </c>
      <c r="G27" s="3">
        <v>0</v>
      </c>
      <c r="H27" s="3">
        <v>0</v>
      </c>
      <c r="I27" s="3">
        <v>100</v>
      </c>
      <c r="J27" s="3" t="s">
        <v>35</v>
      </c>
      <c r="K27" s="3" t="s">
        <v>35</v>
      </c>
      <c r="L27" s="3">
        <v>61</v>
      </c>
      <c r="M27" s="3">
        <v>45</v>
      </c>
      <c r="N27" s="3">
        <v>21</v>
      </c>
      <c r="O27" s="3">
        <v>56</v>
      </c>
      <c r="P27" s="3">
        <v>52</v>
      </c>
      <c r="Q27" s="3" t="s">
        <v>537</v>
      </c>
      <c r="R27" s="3">
        <v>0</v>
      </c>
      <c r="S27" s="3">
        <v>0</v>
      </c>
      <c r="T27" s="3">
        <v>0</v>
      </c>
      <c r="U27" s="3" t="s">
        <v>43</v>
      </c>
      <c r="V27" s="3" t="s">
        <v>35</v>
      </c>
      <c r="W27" s="3" t="s">
        <v>35</v>
      </c>
      <c r="X27" s="3" t="s">
        <v>35</v>
      </c>
      <c r="Y27" s="3">
        <v>8</v>
      </c>
      <c r="Z27" s="3">
        <v>0</v>
      </c>
      <c r="AA27" s="3">
        <v>0</v>
      </c>
      <c r="AB27" s="3">
        <v>0</v>
      </c>
      <c r="AC27" s="3" t="s">
        <v>158</v>
      </c>
      <c r="AD27" s="3" t="s">
        <v>150</v>
      </c>
      <c r="AE27" s="3">
        <v>2.5</v>
      </c>
      <c r="AF27" s="3">
        <v>80</v>
      </c>
    </row>
    <row r="28" ht="75" spans="1:32">
      <c r="A28" s="3" t="s">
        <v>538</v>
      </c>
      <c r="B28" t="str">
        <f>_xlfn.DISPIMG("ID_5108623860F4486080BBA552688ABA97",1)</f>
        <v>=DISPIMG("ID_5108623860F4486080BBA552688ABA97",1)</v>
      </c>
      <c r="C28" t="s">
        <v>524</v>
      </c>
      <c r="D28" s="3">
        <v>113</v>
      </c>
      <c r="E28" s="3">
        <v>0</v>
      </c>
      <c r="F28" s="3">
        <v>0</v>
      </c>
      <c r="G28" s="3">
        <v>0</v>
      </c>
      <c r="H28" s="3">
        <v>0</v>
      </c>
      <c r="I28" s="3">
        <v>100</v>
      </c>
      <c r="J28" s="3" t="s">
        <v>35</v>
      </c>
      <c r="K28" s="3" t="s">
        <v>35</v>
      </c>
      <c r="L28" s="3">
        <v>100</v>
      </c>
      <c r="M28" s="3">
        <v>65</v>
      </c>
      <c r="N28" s="3">
        <v>85</v>
      </c>
      <c r="O28" s="3">
        <v>52</v>
      </c>
      <c r="P28" s="3">
        <v>63</v>
      </c>
      <c r="Q28" s="3" t="s">
        <v>539</v>
      </c>
      <c r="R28" s="3">
        <v>0</v>
      </c>
      <c r="S28" s="3">
        <v>0</v>
      </c>
      <c r="T28" s="3">
        <v>0</v>
      </c>
      <c r="U28" s="3" t="s">
        <v>43</v>
      </c>
      <c r="V28" s="3" t="s">
        <v>35</v>
      </c>
      <c r="W28" s="3" t="s">
        <v>35</v>
      </c>
      <c r="X28" s="3" t="s">
        <v>35</v>
      </c>
      <c r="Y28" s="3">
        <v>18</v>
      </c>
      <c r="Z28" s="3">
        <v>0</v>
      </c>
      <c r="AA28" s="3">
        <v>0</v>
      </c>
      <c r="AB28" s="3">
        <v>0</v>
      </c>
      <c r="AC28" s="3" t="s">
        <v>506</v>
      </c>
      <c r="AD28" s="3" t="s">
        <v>150</v>
      </c>
      <c r="AE28" s="3">
        <v>7.5</v>
      </c>
      <c r="AF28" s="3">
        <v>130</v>
      </c>
    </row>
    <row r="29" ht="75" spans="1:32">
      <c r="A29" s="3" t="s">
        <v>540</v>
      </c>
      <c r="B29" t="str">
        <f>_xlfn.DISPIMG("ID_F1FA436494F3405BA0E943C07BFEF710",1)</f>
        <v>=DISPIMG("ID_F1FA436494F3405BA0E943C07BFEF710",1)</v>
      </c>
      <c r="C29" t="s">
        <v>524</v>
      </c>
      <c r="D29" s="3">
        <v>98</v>
      </c>
      <c r="E29" s="3">
        <v>0</v>
      </c>
      <c r="F29" s="3">
        <v>0</v>
      </c>
      <c r="G29" s="3">
        <v>0</v>
      </c>
      <c r="H29" s="3">
        <v>0</v>
      </c>
      <c r="I29" s="3">
        <v>100</v>
      </c>
      <c r="J29" s="3" t="s">
        <v>35</v>
      </c>
      <c r="K29" s="3" t="s">
        <v>35</v>
      </c>
      <c r="L29" s="3">
        <v>100</v>
      </c>
      <c r="M29" s="3">
        <v>60</v>
      </c>
      <c r="N29" s="3">
        <v>54</v>
      </c>
      <c r="O29" s="3">
        <v>48</v>
      </c>
      <c r="P29" s="3">
        <v>52</v>
      </c>
      <c r="Q29" s="3" t="s">
        <v>541</v>
      </c>
      <c r="R29" s="3">
        <v>0</v>
      </c>
      <c r="S29" s="3">
        <v>0</v>
      </c>
      <c r="T29" s="3">
        <v>0</v>
      </c>
      <c r="U29" s="3" t="s">
        <v>43</v>
      </c>
      <c r="V29" s="3" t="s">
        <v>35</v>
      </c>
      <c r="W29" s="3" t="s">
        <v>35</v>
      </c>
      <c r="X29" s="3" t="s">
        <v>35</v>
      </c>
      <c r="Y29" s="3">
        <v>16</v>
      </c>
      <c r="Z29" s="3">
        <v>0</v>
      </c>
      <c r="AA29" s="3">
        <v>0</v>
      </c>
      <c r="AB29" s="3">
        <v>0</v>
      </c>
      <c r="AC29" s="3" t="s">
        <v>158</v>
      </c>
      <c r="AD29" s="3" t="s">
        <v>150</v>
      </c>
      <c r="AE29" s="3">
        <v>6.5</v>
      </c>
      <c r="AF29" s="3">
        <v>100</v>
      </c>
    </row>
    <row r="30" ht="75" spans="1:32">
      <c r="A30" s="3" t="s">
        <v>542</v>
      </c>
      <c r="B30" t="str">
        <f>_xlfn.DISPIMG("ID_91DFCD3D6001450A8A5ED793E6EBD113",1)</f>
        <v>=DISPIMG("ID_91DFCD3D6001450A8A5ED793E6EBD113",1)</v>
      </c>
      <c r="C30" t="s">
        <v>524</v>
      </c>
      <c r="D30" s="3">
        <v>86</v>
      </c>
      <c r="E30" s="3">
        <v>0</v>
      </c>
      <c r="F30" s="3">
        <v>0</v>
      </c>
      <c r="G30" s="3">
        <v>0</v>
      </c>
      <c r="H30" s="3">
        <v>0</v>
      </c>
      <c r="I30" s="3">
        <v>100</v>
      </c>
      <c r="J30" s="3" t="s">
        <v>35</v>
      </c>
      <c r="K30" s="3" t="s">
        <v>35</v>
      </c>
      <c r="L30" s="3">
        <v>91</v>
      </c>
      <c r="M30" s="3">
        <v>49</v>
      </c>
      <c r="N30" s="3">
        <v>51</v>
      </c>
      <c r="O30" s="3">
        <v>32</v>
      </c>
      <c r="P30" s="3">
        <v>56</v>
      </c>
      <c r="Q30" s="3" t="s">
        <v>514</v>
      </c>
      <c r="R30" s="3">
        <v>30</v>
      </c>
      <c r="S30" s="3">
        <v>0</v>
      </c>
      <c r="T30" s="3">
        <v>0</v>
      </c>
      <c r="U30" s="3" t="s">
        <v>43</v>
      </c>
      <c r="V30" s="3" t="s">
        <v>35</v>
      </c>
      <c r="W30" s="3" t="s">
        <v>35</v>
      </c>
      <c r="X30" s="3" t="s">
        <v>35</v>
      </c>
      <c r="Y30" s="3">
        <v>12</v>
      </c>
      <c r="Z30" s="3">
        <v>12</v>
      </c>
      <c r="AA30" s="3">
        <v>0</v>
      </c>
      <c r="AB30" s="3">
        <v>0</v>
      </c>
      <c r="AC30" s="3" t="s">
        <v>543</v>
      </c>
      <c r="AD30" s="3" t="s">
        <v>150</v>
      </c>
      <c r="AE30" s="3">
        <v>3.5</v>
      </c>
      <c r="AF30" s="3">
        <v>75</v>
      </c>
    </row>
    <row r="31" ht="75" spans="1:32">
      <c r="A31" s="3" t="s">
        <v>544</v>
      </c>
      <c r="B31" t="str">
        <f>_xlfn.DISPIMG("ID_B53B8FB771A844ADB7857E506BE12024",1)</f>
        <v>=DISPIMG("ID_B53B8FB771A844ADB7857E506BE12024",1)</v>
      </c>
      <c r="C31" t="s">
        <v>524</v>
      </c>
      <c r="D31" s="3">
        <v>87</v>
      </c>
      <c r="E31" s="3">
        <v>0</v>
      </c>
      <c r="F31" s="3">
        <v>0</v>
      </c>
      <c r="G31" s="3">
        <v>0</v>
      </c>
      <c r="H31" s="3">
        <v>0</v>
      </c>
      <c r="I31" s="3">
        <v>100</v>
      </c>
      <c r="J31" s="3" t="s">
        <v>35</v>
      </c>
      <c r="K31" s="3" t="s">
        <v>35</v>
      </c>
      <c r="L31" s="3">
        <v>93</v>
      </c>
      <c r="M31" s="3">
        <v>62</v>
      </c>
      <c r="N31" s="3">
        <v>50</v>
      </c>
      <c r="O31" s="3">
        <v>31</v>
      </c>
      <c r="P31" s="3">
        <v>48</v>
      </c>
      <c r="Q31" s="3" t="s">
        <v>528</v>
      </c>
      <c r="R31" s="3">
        <v>0</v>
      </c>
      <c r="S31" s="3">
        <v>0</v>
      </c>
      <c r="T31" s="3">
        <v>0</v>
      </c>
      <c r="U31" s="3" t="s">
        <v>43</v>
      </c>
      <c r="V31" s="3" t="s">
        <v>35</v>
      </c>
      <c r="W31" s="3" t="s">
        <v>35</v>
      </c>
      <c r="X31" s="3" t="s">
        <v>35</v>
      </c>
      <c r="Y31" s="3">
        <v>10</v>
      </c>
      <c r="Z31" s="3">
        <v>0</v>
      </c>
      <c r="AA31" s="3">
        <v>0</v>
      </c>
      <c r="AB31" s="3">
        <v>0</v>
      </c>
      <c r="AC31" s="3" t="s">
        <v>500</v>
      </c>
      <c r="AD31" s="3" t="s">
        <v>299</v>
      </c>
      <c r="AE31" s="3">
        <v>3.5</v>
      </c>
      <c r="AF31" s="3">
        <v>90</v>
      </c>
    </row>
    <row r="32" ht="75" spans="1:32">
      <c r="A32" s="3" t="s">
        <v>545</v>
      </c>
      <c r="B32" t="str">
        <f>_xlfn.DISPIMG("ID_4A0D8547228541019C52FBEE3F846326",1)</f>
        <v>=DISPIMG("ID_4A0D8547228541019C52FBEE3F846326",1)</v>
      </c>
      <c r="C32" t="s">
        <v>524</v>
      </c>
      <c r="D32" s="3">
        <v>76</v>
      </c>
      <c r="E32" s="3">
        <v>0</v>
      </c>
      <c r="F32" s="3">
        <v>0</v>
      </c>
      <c r="G32" s="3">
        <v>0</v>
      </c>
      <c r="H32" s="3">
        <v>0</v>
      </c>
      <c r="I32" s="3">
        <v>100</v>
      </c>
      <c r="J32" s="3" t="s">
        <v>35</v>
      </c>
      <c r="K32" s="3" t="s">
        <v>35</v>
      </c>
      <c r="L32" s="3">
        <v>55</v>
      </c>
      <c r="M32" s="3">
        <v>70</v>
      </c>
      <c r="N32" s="3">
        <v>53</v>
      </c>
      <c r="O32" s="3">
        <v>56</v>
      </c>
      <c r="P32" s="3">
        <v>46</v>
      </c>
      <c r="Q32" s="3" t="s">
        <v>537</v>
      </c>
      <c r="R32" s="3">
        <v>0</v>
      </c>
      <c r="S32" s="3">
        <v>0</v>
      </c>
      <c r="T32" s="3">
        <v>0</v>
      </c>
      <c r="U32" s="3" t="s">
        <v>43</v>
      </c>
      <c r="V32" s="3" t="s">
        <v>35</v>
      </c>
      <c r="W32" s="3" t="s">
        <v>35</v>
      </c>
      <c r="X32" s="3" t="s">
        <v>35</v>
      </c>
      <c r="Y32" s="3">
        <v>8</v>
      </c>
      <c r="Z32" s="3">
        <v>0</v>
      </c>
      <c r="AA32" s="3">
        <v>0</v>
      </c>
      <c r="AB32" s="3">
        <v>0</v>
      </c>
      <c r="AC32" s="3" t="s">
        <v>158</v>
      </c>
      <c r="AD32" s="3" t="s">
        <v>150</v>
      </c>
      <c r="AE32" s="3">
        <v>2</v>
      </c>
      <c r="AF32" s="3">
        <v>60</v>
      </c>
    </row>
    <row r="33" ht="75" spans="1:32">
      <c r="A33" s="3" t="s">
        <v>546</v>
      </c>
      <c r="B33" t="str">
        <f>_xlfn.DISPIMG("ID_29AC1805381C4B8699E5DDC994EEE6D8",1)</f>
        <v>=DISPIMG("ID_29AC1805381C4B8699E5DDC994EEE6D8",1)</v>
      </c>
      <c r="C33" t="s">
        <v>524</v>
      </c>
      <c r="D33" s="3">
        <v>82</v>
      </c>
      <c r="E33" s="3">
        <v>0</v>
      </c>
      <c r="F33" s="3">
        <v>0</v>
      </c>
      <c r="G33" s="3">
        <v>0</v>
      </c>
      <c r="H33" s="3">
        <v>0</v>
      </c>
      <c r="I33" s="3">
        <v>100</v>
      </c>
      <c r="J33" s="3" t="s">
        <v>35</v>
      </c>
      <c r="K33" s="3" t="s">
        <v>35</v>
      </c>
      <c r="L33" s="3">
        <v>100</v>
      </c>
      <c r="M33" s="3">
        <v>54</v>
      </c>
      <c r="N33" s="3">
        <v>49</v>
      </c>
      <c r="O33" s="3">
        <v>44</v>
      </c>
      <c r="P33" s="3">
        <v>47</v>
      </c>
      <c r="Q33" s="3" t="s">
        <v>547</v>
      </c>
      <c r="R33" s="3">
        <v>0</v>
      </c>
      <c r="S33" s="3">
        <v>0</v>
      </c>
      <c r="T33" s="3">
        <v>0</v>
      </c>
      <c r="U33" s="3" t="s">
        <v>43</v>
      </c>
      <c r="V33" s="3" t="s">
        <v>35</v>
      </c>
      <c r="W33" s="3" t="s">
        <v>35</v>
      </c>
      <c r="X33" s="3" t="s">
        <v>35</v>
      </c>
      <c r="Y33" s="3">
        <v>12</v>
      </c>
      <c r="Z33" s="3">
        <v>0</v>
      </c>
      <c r="AA33" s="3">
        <v>0</v>
      </c>
      <c r="AB33" s="3">
        <v>0</v>
      </c>
      <c r="AC33" s="3" t="s">
        <v>158</v>
      </c>
      <c r="AD33" s="3" t="s">
        <v>150</v>
      </c>
      <c r="AE33" s="3">
        <v>5.5</v>
      </c>
      <c r="AF33" s="3">
        <v>80</v>
      </c>
    </row>
    <row r="34" ht="75" spans="1:32">
      <c r="A34" s="3" t="s">
        <v>548</v>
      </c>
      <c r="B34" t="str">
        <f>_xlfn.DISPIMG("ID_8CA8FABA3355477D94832A9E3A99E0D5",1)</f>
        <v>=DISPIMG("ID_8CA8FABA3355477D94832A9E3A99E0D5",1)</v>
      </c>
      <c r="C34" t="s">
        <v>524</v>
      </c>
      <c r="D34" s="3">
        <v>95</v>
      </c>
      <c r="E34" s="3">
        <v>0</v>
      </c>
      <c r="F34" s="3">
        <v>0</v>
      </c>
      <c r="G34" s="3">
        <v>0</v>
      </c>
      <c r="H34" s="3">
        <v>0</v>
      </c>
      <c r="I34" s="3">
        <v>100</v>
      </c>
      <c r="J34" s="3" t="s">
        <v>35</v>
      </c>
      <c r="K34" s="3" t="s">
        <v>35</v>
      </c>
      <c r="L34" s="3">
        <v>100</v>
      </c>
      <c r="M34" s="3">
        <v>67</v>
      </c>
      <c r="N34" s="3">
        <v>56</v>
      </c>
      <c r="O34" s="3">
        <v>43</v>
      </c>
      <c r="P34" s="3">
        <v>86</v>
      </c>
      <c r="Q34" s="3" t="s">
        <v>549</v>
      </c>
      <c r="R34" s="3">
        <v>0</v>
      </c>
      <c r="S34" s="3">
        <v>0</v>
      </c>
      <c r="T34" s="3">
        <v>0</v>
      </c>
      <c r="U34" s="3" t="s">
        <v>43</v>
      </c>
      <c r="V34" s="3" t="s">
        <v>35</v>
      </c>
      <c r="W34" s="3" t="s">
        <v>35</v>
      </c>
      <c r="X34" s="3" t="s">
        <v>35</v>
      </c>
      <c r="Y34" s="3">
        <v>14</v>
      </c>
      <c r="Z34" s="3">
        <v>0</v>
      </c>
      <c r="AA34" s="3">
        <v>0</v>
      </c>
      <c r="AB34" s="3">
        <v>0</v>
      </c>
      <c r="AC34" s="3" t="s">
        <v>158</v>
      </c>
      <c r="AD34" s="3" t="s">
        <v>150</v>
      </c>
      <c r="AE34" s="3">
        <v>5</v>
      </c>
      <c r="AF34" s="3">
        <v>90</v>
      </c>
    </row>
    <row r="35" ht="75" spans="1:32">
      <c r="A35" s="3" t="s">
        <v>550</v>
      </c>
      <c r="B35" t="str">
        <f>_xlfn.DISPIMG("ID_61CBAE1E8A184A6E9BC46AB332ADC86D",1)</f>
        <v>=DISPIMG("ID_61CBAE1E8A184A6E9BC46AB332ADC86D",1)</v>
      </c>
      <c r="C35" t="s">
        <v>524</v>
      </c>
      <c r="D35" s="3">
        <v>95</v>
      </c>
      <c r="E35" s="3">
        <v>0</v>
      </c>
      <c r="F35" s="3">
        <v>0</v>
      </c>
      <c r="G35" s="3">
        <v>0</v>
      </c>
      <c r="H35" s="3">
        <v>0</v>
      </c>
      <c r="I35" s="3">
        <v>100</v>
      </c>
      <c r="J35" s="3" t="s">
        <v>35</v>
      </c>
      <c r="K35" s="3" t="s">
        <v>35</v>
      </c>
      <c r="L35" s="3">
        <v>100</v>
      </c>
      <c r="M35" s="3">
        <v>67</v>
      </c>
      <c r="N35" s="3">
        <v>89</v>
      </c>
      <c r="O35" s="3">
        <v>43</v>
      </c>
      <c r="P35" s="3">
        <v>53</v>
      </c>
      <c r="Q35" s="3" t="s">
        <v>549</v>
      </c>
      <c r="R35" s="3">
        <v>0</v>
      </c>
      <c r="S35" s="3">
        <v>0</v>
      </c>
      <c r="T35" s="3">
        <v>0</v>
      </c>
      <c r="U35" s="3" t="s">
        <v>43</v>
      </c>
      <c r="V35" s="3" t="s">
        <v>35</v>
      </c>
      <c r="W35" s="3" t="s">
        <v>35</v>
      </c>
      <c r="X35" s="3" t="s">
        <v>35</v>
      </c>
      <c r="Y35" s="3">
        <v>14</v>
      </c>
      <c r="Z35" s="3">
        <v>0</v>
      </c>
      <c r="AA35" s="3">
        <v>0</v>
      </c>
      <c r="AB35" s="3">
        <v>0</v>
      </c>
      <c r="AC35" s="3" t="s">
        <v>158</v>
      </c>
      <c r="AD35" s="3" t="s">
        <v>150</v>
      </c>
      <c r="AE35" s="3">
        <v>5</v>
      </c>
      <c r="AF35" s="3">
        <v>90</v>
      </c>
    </row>
    <row r="36" ht="75" spans="1:32">
      <c r="A36" s="3" t="s">
        <v>551</v>
      </c>
      <c r="B36" t="str">
        <f>_xlfn.DISPIMG("ID_05A53A1CCBAE491EB8253DDBF4D8FE9B",1)</f>
        <v>=DISPIMG("ID_05A53A1CCBAE491EB8253DDBF4D8FE9B",1)</v>
      </c>
      <c r="C36" t="s">
        <v>524</v>
      </c>
      <c r="D36" s="3">
        <v>88</v>
      </c>
      <c r="E36" s="3">
        <v>0</v>
      </c>
      <c r="F36" s="3">
        <v>0</v>
      </c>
      <c r="G36" s="3">
        <v>0</v>
      </c>
      <c r="H36" s="3">
        <v>0</v>
      </c>
      <c r="I36" s="3">
        <v>100</v>
      </c>
      <c r="J36" s="3" t="s">
        <v>35</v>
      </c>
      <c r="K36" s="3" t="s">
        <v>35</v>
      </c>
      <c r="L36" s="3">
        <v>80</v>
      </c>
      <c r="M36" s="3">
        <v>52</v>
      </c>
      <c r="N36" s="3">
        <v>47</v>
      </c>
      <c r="O36" s="3">
        <v>29</v>
      </c>
      <c r="P36" s="3">
        <v>46</v>
      </c>
      <c r="Q36" s="3" t="s">
        <v>552</v>
      </c>
      <c r="R36" s="3">
        <v>0</v>
      </c>
      <c r="S36" s="3">
        <v>0</v>
      </c>
      <c r="T36" s="3">
        <v>0</v>
      </c>
      <c r="U36" s="3" t="s">
        <v>43</v>
      </c>
      <c r="V36" s="3" t="s">
        <v>35</v>
      </c>
      <c r="W36" s="3" t="s">
        <v>35</v>
      </c>
      <c r="X36" s="3" t="s">
        <v>35</v>
      </c>
      <c r="Y36" s="3">
        <v>10</v>
      </c>
      <c r="Z36" s="3">
        <v>0</v>
      </c>
      <c r="AA36" s="3">
        <v>0</v>
      </c>
      <c r="AB36" s="3">
        <v>0</v>
      </c>
      <c r="AC36" s="3" t="s">
        <v>506</v>
      </c>
      <c r="AD36" s="3" t="s">
        <v>150</v>
      </c>
      <c r="AE36" s="3">
        <v>3.5</v>
      </c>
      <c r="AF36" s="3">
        <v>75</v>
      </c>
    </row>
    <row r="37" ht="75" spans="1:32">
      <c r="A37" s="3" t="s">
        <v>553</v>
      </c>
      <c r="B37" t="str">
        <f>_xlfn.DISPIMG("ID_6BAB3D16AE1546938708C696493A1AA8",1)</f>
        <v>=DISPIMG("ID_6BAB3D16AE1546938708C696493A1AA8",1)</v>
      </c>
      <c r="C37" t="s">
        <v>524</v>
      </c>
      <c r="D37" s="3">
        <v>92</v>
      </c>
      <c r="E37" s="3">
        <v>0</v>
      </c>
      <c r="F37" s="3">
        <v>0</v>
      </c>
      <c r="G37" s="3">
        <v>0</v>
      </c>
      <c r="H37" s="3">
        <v>0</v>
      </c>
      <c r="I37" s="3">
        <v>100</v>
      </c>
      <c r="J37" s="3" t="s">
        <v>35</v>
      </c>
      <c r="K37" s="3" t="s">
        <v>35</v>
      </c>
      <c r="L37" s="3">
        <v>89</v>
      </c>
      <c r="M37" s="3">
        <v>43</v>
      </c>
      <c r="N37" s="3">
        <v>38</v>
      </c>
      <c r="O37" s="3">
        <v>33</v>
      </c>
      <c r="P37" s="3">
        <v>36</v>
      </c>
      <c r="Q37" s="3" t="s">
        <v>554</v>
      </c>
      <c r="R37" s="3">
        <v>0</v>
      </c>
      <c r="S37" s="3">
        <v>0</v>
      </c>
      <c r="T37" s="3">
        <v>0</v>
      </c>
      <c r="U37" s="3" t="s">
        <v>43</v>
      </c>
      <c r="V37" s="3" t="s">
        <v>35</v>
      </c>
      <c r="W37" s="3" t="s">
        <v>35</v>
      </c>
      <c r="X37" s="3" t="s">
        <v>35</v>
      </c>
      <c r="Y37" s="3">
        <v>10</v>
      </c>
      <c r="Z37" s="3">
        <v>0</v>
      </c>
      <c r="AA37" s="3">
        <v>0</v>
      </c>
      <c r="AB37" s="3">
        <v>0</v>
      </c>
      <c r="AC37" s="3" t="s">
        <v>158</v>
      </c>
      <c r="AD37" s="3" t="s">
        <v>150</v>
      </c>
      <c r="AE37" s="3">
        <v>4.5</v>
      </c>
      <c r="AF37" s="3">
        <v>75</v>
      </c>
    </row>
    <row r="38" ht="75" spans="1:32">
      <c r="A38" s="3" t="s">
        <v>555</v>
      </c>
      <c r="B38" t="str">
        <f>_xlfn.DISPIMG("ID_149EFC99167A4DEABC42BA032DC51A32",1)</f>
        <v>=DISPIMG("ID_149EFC99167A4DEABC42BA032DC51A32",1)</v>
      </c>
      <c r="C38" t="s">
        <v>524</v>
      </c>
      <c r="D38" s="3">
        <v>82</v>
      </c>
      <c r="E38" s="3">
        <v>0</v>
      </c>
      <c r="F38" s="3">
        <v>0</v>
      </c>
      <c r="G38" s="3">
        <v>0</v>
      </c>
      <c r="H38" s="3">
        <v>0</v>
      </c>
      <c r="I38" s="3">
        <v>100</v>
      </c>
      <c r="J38" s="3" t="s">
        <v>35</v>
      </c>
      <c r="K38" s="3" t="s">
        <v>35</v>
      </c>
      <c r="L38" s="3">
        <v>100</v>
      </c>
      <c r="M38" s="3">
        <v>60</v>
      </c>
      <c r="N38" s="3">
        <v>55</v>
      </c>
      <c r="O38" s="3">
        <v>55</v>
      </c>
      <c r="P38" s="3">
        <v>26</v>
      </c>
      <c r="Q38" s="3" t="s">
        <v>547</v>
      </c>
      <c r="R38" s="3">
        <v>0</v>
      </c>
      <c r="S38" s="3">
        <v>0</v>
      </c>
      <c r="T38" s="3">
        <v>0</v>
      </c>
      <c r="U38" s="3" t="s">
        <v>43</v>
      </c>
      <c r="V38" s="3" t="s">
        <v>35</v>
      </c>
      <c r="W38" s="3" t="s">
        <v>35</v>
      </c>
      <c r="X38" s="3" t="s">
        <v>35</v>
      </c>
      <c r="Y38" s="3">
        <v>12</v>
      </c>
      <c r="Z38" s="3">
        <v>0</v>
      </c>
      <c r="AA38" s="3">
        <v>0</v>
      </c>
      <c r="AB38" s="3">
        <v>0</v>
      </c>
      <c r="AC38" s="3" t="s">
        <v>158</v>
      </c>
      <c r="AD38" s="3" t="s">
        <v>150</v>
      </c>
      <c r="AE38" s="3">
        <v>5</v>
      </c>
      <c r="AF38" s="3">
        <v>80</v>
      </c>
    </row>
    <row r="39" ht="75" spans="1:32">
      <c r="A39" s="3" t="s">
        <v>556</v>
      </c>
      <c r="B39" t="str">
        <f>_xlfn.DISPIMG("ID_82E97AA18C0B43EEA05394E364D87227",1)</f>
        <v>=DISPIMG("ID_82E97AA18C0B43EEA05394E364D87227",1)</v>
      </c>
      <c r="C39" t="s">
        <v>524</v>
      </c>
      <c r="D39" s="3">
        <v>102</v>
      </c>
      <c r="E39" s="3">
        <v>0</v>
      </c>
      <c r="F39" s="3">
        <v>0</v>
      </c>
      <c r="G39" s="3">
        <v>0</v>
      </c>
      <c r="H39" s="3">
        <v>0</v>
      </c>
      <c r="I39" s="3">
        <v>100</v>
      </c>
      <c r="J39" s="3" t="s">
        <v>35</v>
      </c>
      <c r="K39" s="3" t="s">
        <v>35</v>
      </c>
      <c r="L39" s="3">
        <v>100</v>
      </c>
      <c r="M39" s="3">
        <v>75</v>
      </c>
      <c r="N39" s="3">
        <v>50</v>
      </c>
      <c r="O39" s="3">
        <v>57</v>
      </c>
      <c r="P39" s="3">
        <v>47</v>
      </c>
      <c r="Q39" s="3" t="s">
        <v>554</v>
      </c>
      <c r="R39" s="3">
        <v>0</v>
      </c>
      <c r="S39" s="3">
        <v>0</v>
      </c>
      <c r="T39" s="3">
        <v>0</v>
      </c>
      <c r="U39" s="3" t="s">
        <v>43</v>
      </c>
      <c r="V39" s="3" t="s">
        <v>35</v>
      </c>
      <c r="W39" s="3" t="s">
        <v>35</v>
      </c>
      <c r="X39" s="3" t="s">
        <v>35</v>
      </c>
      <c r="Y39" s="3">
        <v>14</v>
      </c>
      <c r="Z39" s="3">
        <v>0</v>
      </c>
      <c r="AA39" s="3">
        <v>0</v>
      </c>
      <c r="AB39" s="3">
        <v>0</v>
      </c>
      <c r="AC39" s="3" t="s">
        <v>520</v>
      </c>
      <c r="AD39" s="3" t="s">
        <v>150</v>
      </c>
      <c r="AE39" s="3">
        <v>5.5</v>
      </c>
      <c r="AF39" s="3">
        <v>100</v>
      </c>
    </row>
    <row r="40" ht="75" spans="1:32">
      <c r="A40" s="3" t="s">
        <v>557</v>
      </c>
      <c r="B40" t="str">
        <f>_xlfn.DISPIMG("ID_B0DDEB4559F149449ADE05BA769CF739",1)</f>
        <v>=DISPIMG("ID_B0DDEB4559F149449ADE05BA769CF739",1)</v>
      </c>
      <c r="C40" t="s">
        <v>524</v>
      </c>
      <c r="D40" s="3">
        <v>77</v>
      </c>
      <c r="E40" s="3">
        <v>0</v>
      </c>
      <c r="F40" s="3">
        <v>0</v>
      </c>
      <c r="G40" s="3">
        <v>0</v>
      </c>
      <c r="H40" s="3">
        <v>0</v>
      </c>
      <c r="I40" s="3">
        <v>100</v>
      </c>
      <c r="J40" s="3" t="s">
        <v>35</v>
      </c>
      <c r="K40" s="3" t="s">
        <v>35</v>
      </c>
      <c r="L40" s="3">
        <v>56</v>
      </c>
      <c r="M40" s="3">
        <v>70</v>
      </c>
      <c r="N40" s="3">
        <v>54</v>
      </c>
      <c r="O40" s="3">
        <v>56</v>
      </c>
      <c r="P40" s="3">
        <v>39</v>
      </c>
      <c r="Q40" s="3" t="s">
        <v>558</v>
      </c>
      <c r="R40" s="3">
        <v>0</v>
      </c>
      <c r="S40" s="3">
        <v>0</v>
      </c>
      <c r="T40" s="3">
        <v>0</v>
      </c>
      <c r="U40" s="3" t="s">
        <v>43</v>
      </c>
      <c r="V40" s="3" t="s">
        <v>35</v>
      </c>
      <c r="W40" s="3" t="s">
        <v>35</v>
      </c>
      <c r="X40" s="3" t="s">
        <v>35</v>
      </c>
      <c r="Y40" s="3">
        <v>8</v>
      </c>
      <c r="Z40" s="3">
        <v>0</v>
      </c>
      <c r="AA40" s="3">
        <v>0</v>
      </c>
      <c r="AB40" s="3">
        <v>0</v>
      </c>
      <c r="AC40" s="3" t="s">
        <v>158</v>
      </c>
      <c r="AD40" s="3" t="s">
        <v>150</v>
      </c>
      <c r="AE40" s="3">
        <v>2.5</v>
      </c>
      <c r="AF40" s="3">
        <v>65</v>
      </c>
    </row>
    <row r="41" ht="75" spans="1:32">
      <c r="A41" s="3" t="s">
        <v>559</v>
      </c>
      <c r="B41" t="str">
        <f>_xlfn.DISPIMG("ID_6926B65FDE70474492935B0A6E3C7D65",1)</f>
        <v>=DISPIMG("ID_6926B65FDE70474492935B0A6E3C7D65",1)</v>
      </c>
      <c r="C41" t="s">
        <v>524</v>
      </c>
      <c r="D41" s="3">
        <v>88</v>
      </c>
      <c r="E41" s="3">
        <v>0</v>
      </c>
      <c r="F41" s="3">
        <v>0</v>
      </c>
      <c r="G41" s="3">
        <v>0</v>
      </c>
      <c r="H41" s="3">
        <v>0</v>
      </c>
      <c r="I41" s="3">
        <v>100</v>
      </c>
      <c r="J41" s="3" t="s">
        <v>35</v>
      </c>
      <c r="K41" s="3" t="s">
        <v>35</v>
      </c>
      <c r="L41" s="3">
        <v>100</v>
      </c>
      <c r="M41" s="3">
        <v>44</v>
      </c>
      <c r="N41" s="3">
        <v>45</v>
      </c>
      <c r="O41" s="3">
        <v>33</v>
      </c>
      <c r="P41" s="3">
        <v>43</v>
      </c>
      <c r="Q41" s="3" t="s">
        <v>537</v>
      </c>
      <c r="R41" s="3">
        <v>0</v>
      </c>
      <c r="S41" s="3">
        <v>0</v>
      </c>
      <c r="T41" s="3">
        <v>0</v>
      </c>
      <c r="U41" s="3" t="s">
        <v>43</v>
      </c>
      <c r="V41" s="3" t="s">
        <v>35</v>
      </c>
      <c r="W41" s="3" t="s">
        <v>35</v>
      </c>
      <c r="X41" s="3" t="s">
        <v>35</v>
      </c>
      <c r="Y41" s="3">
        <v>11</v>
      </c>
      <c r="Z41" s="3">
        <v>0</v>
      </c>
      <c r="AA41" s="3">
        <v>0</v>
      </c>
      <c r="AB41" s="3">
        <v>0</v>
      </c>
      <c r="AC41" s="3" t="s">
        <v>506</v>
      </c>
      <c r="AD41" s="3" t="s">
        <v>150</v>
      </c>
      <c r="AE41" s="3">
        <v>5</v>
      </c>
      <c r="AF41" s="3">
        <v>60</v>
      </c>
    </row>
    <row r="42" ht="75" spans="1:32">
      <c r="A42" s="3" t="s">
        <v>560</v>
      </c>
      <c r="B42" t="str">
        <f>_xlfn.DISPIMG("ID_2CB839916C66413A9D31ACE13E3D91AF",1)</f>
        <v>=DISPIMG("ID_2CB839916C66413A9D31ACE13E3D91AF",1)</v>
      </c>
      <c r="C42" t="s">
        <v>524</v>
      </c>
      <c r="D42" s="3">
        <v>94</v>
      </c>
      <c r="E42" s="3">
        <v>0</v>
      </c>
      <c r="F42" s="3">
        <v>0</v>
      </c>
      <c r="G42" s="3">
        <v>0</v>
      </c>
      <c r="H42" s="3">
        <v>0</v>
      </c>
      <c r="I42" s="3">
        <v>100</v>
      </c>
      <c r="J42" s="3" t="s">
        <v>35</v>
      </c>
      <c r="K42" s="3" t="s">
        <v>35</v>
      </c>
      <c r="L42" s="3">
        <v>100</v>
      </c>
      <c r="M42" s="3">
        <v>58</v>
      </c>
      <c r="N42" s="3">
        <v>52</v>
      </c>
      <c r="O42" s="3">
        <v>53</v>
      </c>
      <c r="P42" s="3">
        <v>57</v>
      </c>
      <c r="Q42" s="3" t="s">
        <v>561</v>
      </c>
      <c r="R42" s="3">
        <v>0</v>
      </c>
      <c r="S42" s="3">
        <v>0</v>
      </c>
      <c r="T42" s="3">
        <v>0</v>
      </c>
      <c r="U42" s="3" t="s">
        <v>43</v>
      </c>
      <c r="V42" s="3" t="s">
        <v>35</v>
      </c>
      <c r="W42" s="3" t="s">
        <v>35</v>
      </c>
      <c r="X42" s="3" t="s">
        <v>35</v>
      </c>
      <c r="Y42" s="3">
        <v>17</v>
      </c>
      <c r="Z42" s="3">
        <v>0</v>
      </c>
      <c r="AA42" s="3">
        <v>0</v>
      </c>
      <c r="AB42" s="3">
        <v>0</v>
      </c>
      <c r="AC42" s="3" t="s">
        <v>506</v>
      </c>
      <c r="AD42" s="3" t="s">
        <v>150</v>
      </c>
      <c r="AE42" s="3">
        <v>7</v>
      </c>
      <c r="AF42" s="3">
        <v>70</v>
      </c>
    </row>
    <row r="43" ht="75" spans="1:32">
      <c r="A43" s="3" t="s">
        <v>562</v>
      </c>
      <c r="B43" t="str">
        <f>_xlfn.DISPIMG("ID_29BC2E9353C444A5925AC64DC540FB86",1)</f>
        <v>=DISPIMG("ID_29BC2E9353C444A5925AC64DC540FB86",1)</v>
      </c>
      <c r="C43" t="s">
        <v>524</v>
      </c>
      <c r="D43" s="3">
        <v>95</v>
      </c>
      <c r="E43" s="3">
        <v>0</v>
      </c>
      <c r="F43" s="3">
        <v>0</v>
      </c>
      <c r="G43" s="3">
        <v>0</v>
      </c>
      <c r="H43" s="3">
        <v>0</v>
      </c>
      <c r="I43" s="3">
        <v>100</v>
      </c>
      <c r="J43" s="3" t="s">
        <v>35</v>
      </c>
      <c r="K43" s="3" t="s">
        <v>35</v>
      </c>
      <c r="L43" s="3">
        <v>100</v>
      </c>
      <c r="M43" s="3">
        <v>67</v>
      </c>
      <c r="N43" s="3">
        <v>56</v>
      </c>
      <c r="O43" s="3">
        <v>83</v>
      </c>
      <c r="P43" s="3">
        <v>53</v>
      </c>
      <c r="Q43" s="3" t="s">
        <v>549</v>
      </c>
      <c r="R43" s="3">
        <v>0</v>
      </c>
      <c r="S43" s="3">
        <v>0</v>
      </c>
      <c r="T43" s="3">
        <v>0</v>
      </c>
      <c r="U43" s="3" t="s">
        <v>43</v>
      </c>
      <c r="V43" s="3" t="s">
        <v>35</v>
      </c>
      <c r="W43" s="3" t="s">
        <v>35</v>
      </c>
      <c r="X43" s="3" t="s">
        <v>35</v>
      </c>
      <c r="Y43" s="3">
        <v>14</v>
      </c>
      <c r="Z43" s="3">
        <v>0</v>
      </c>
      <c r="AA43" s="3">
        <v>0</v>
      </c>
      <c r="AB43" s="3">
        <v>0</v>
      </c>
      <c r="AC43" s="3" t="s">
        <v>158</v>
      </c>
      <c r="AD43" s="3" t="s">
        <v>150</v>
      </c>
      <c r="AE43" s="3">
        <v>5</v>
      </c>
      <c r="AF43" s="3">
        <v>90</v>
      </c>
    </row>
    <row r="44" ht="75" spans="1:32">
      <c r="A44" s="3" t="s">
        <v>563</v>
      </c>
      <c r="B44" t="str">
        <f>_xlfn.DISPIMG("ID_8E28B08C2C944277A97D868B837F13BF",1)</f>
        <v>=DISPIMG("ID_8E28B08C2C944277A97D868B837F13BF",1)</v>
      </c>
      <c r="C44" t="s">
        <v>524</v>
      </c>
      <c r="D44" s="3">
        <v>85</v>
      </c>
      <c r="E44" s="3">
        <v>0</v>
      </c>
      <c r="F44" s="3">
        <v>0</v>
      </c>
      <c r="G44" s="3">
        <v>0</v>
      </c>
      <c r="H44" s="3">
        <v>0</v>
      </c>
      <c r="I44" s="3">
        <v>100</v>
      </c>
      <c r="J44" s="3" t="s">
        <v>35</v>
      </c>
      <c r="K44" s="3" t="s">
        <v>35</v>
      </c>
      <c r="L44" s="3">
        <v>74</v>
      </c>
      <c r="M44" s="3">
        <v>43</v>
      </c>
      <c r="N44" s="3">
        <v>38</v>
      </c>
      <c r="O44" s="3">
        <v>27</v>
      </c>
      <c r="P44" s="3">
        <v>36</v>
      </c>
      <c r="Q44" s="3" t="s">
        <v>514</v>
      </c>
      <c r="R44" s="3">
        <v>0</v>
      </c>
      <c r="S44" s="3">
        <v>0</v>
      </c>
      <c r="T44" s="3">
        <v>0</v>
      </c>
      <c r="U44" s="3" t="s">
        <v>43</v>
      </c>
      <c r="V44" s="3" t="s">
        <v>35</v>
      </c>
      <c r="W44" s="3" t="s">
        <v>35</v>
      </c>
      <c r="X44" s="3" t="s">
        <v>35</v>
      </c>
      <c r="Y44" s="3">
        <v>8</v>
      </c>
      <c r="Z44" s="3">
        <v>0</v>
      </c>
      <c r="AA44" s="3">
        <v>0</v>
      </c>
      <c r="AB44" s="3">
        <v>0</v>
      </c>
      <c r="AC44" s="3" t="s">
        <v>500</v>
      </c>
      <c r="AD44" s="3" t="s">
        <v>299</v>
      </c>
      <c r="AE44" s="3">
        <v>4.5</v>
      </c>
      <c r="AF44" s="3">
        <v>70</v>
      </c>
    </row>
    <row r="45" ht="75" spans="1:32">
      <c r="A45" s="3" t="s">
        <v>564</v>
      </c>
      <c r="B45" t="str">
        <f>_xlfn.DISPIMG("ID_2DE5D422CB07489D9F28D9288808DBA5",1)</f>
        <v>=DISPIMG("ID_2DE5D422CB07489D9F28D9288808DBA5",1)</v>
      </c>
      <c r="C45" t="s">
        <v>524</v>
      </c>
      <c r="D45" s="3">
        <v>104</v>
      </c>
      <c r="E45" s="3">
        <v>0</v>
      </c>
      <c r="F45" s="3">
        <v>0</v>
      </c>
      <c r="G45" s="3">
        <v>0</v>
      </c>
      <c r="H45" s="3">
        <v>0</v>
      </c>
      <c r="I45" s="3">
        <v>100</v>
      </c>
      <c r="J45" s="3" t="s">
        <v>35</v>
      </c>
      <c r="K45" s="3" t="s">
        <v>35</v>
      </c>
      <c r="L45" s="3">
        <v>100</v>
      </c>
      <c r="M45" s="3">
        <v>61</v>
      </c>
      <c r="N45" s="3">
        <v>63</v>
      </c>
      <c r="O45" s="3">
        <v>43</v>
      </c>
      <c r="P45" s="3">
        <v>61</v>
      </c>
      <c r="Q45" s="3" t="s">
        <v>565</v>
      </c>
      <c r="R45" s="3">
        <v>0</v>
      </c>
      <c r="S45" s="3">
        <v>0</v>
      </c>
      <c r="T45" s="3">
        <v>0</v>
      </c>
      <c r="U45" s="3" t="s">
        <v>43</v>
      </c>
      <c r="V45" s="3" t="s">
        <v>35</v>
      </c>
      <c r="W45" s="3" t="s">
        <v>35</v>
      </c>
      <c r="X45" s="3" t="s">
        <v>35</v>
      </c>
      <c r="Y45" s="3">
        <v>18</v>
      </c>
      <c r="Z45" s="3">
        <v>0</v>
      </c>
      <c r="AA45" s="3">
        <v>0</v>
      </c>
      <c r="AB45" s="3">
        <v>0</v>
      </c>
      <c r="AC45" s="3" t="s">
        <v>506</v>
      </c>
      <c r="AD45" s="3" t="s">
        <v>150</v>
      </c>
      <c r="AE45" s="3">
        <v>5.5</v>
      </c>
      <c r="AF45" s="3">
        <v>110</v>
      </c>
    </row>
    <row r="46" ht="75" spans="1:32">
      <c r="A46" s="3" t="s">
        <v>566</v>
      </c>
      <c r="B46" t="str">
        <f>_xlfn.DISPIMG("ID_B30A927BE3C04E1EA6455D87721F73C3",1)</f>
        <v>=DISPIMG("ID_B30A927BE3C04E1EA6455D87721F73C3",1)</v>
      </c>
      <c r="C46" t="s">
        <v>524</v>
      </c>
      <c r="D46" s="3">
        <v>88</v>
      </c>
      <c r="E46" s="3">
        <v>0</v>
      </c>
      <c r="F46" s="3">
        <v>0</v>
      </c>
      <c r="G46" s="3">
        <v>0</v>
      </c>
      <c r="H46" s="3">
        <v>0</v>
      </c>
      <c r="I46" s="3">
        <v>100</v>
      </c>
      <c r="J46" s="3" t="s">
        <v>35</v>
      </c>
      <c r="K46" s="3" t="s">
        <v>35</v>
      </c>
      <c r="L46" s="3">
        <v>84</v>
      </c>
      <c r="M46" s="3">
        <v>47</v>
      </c>
      <c r="N46" s="3">
        <v>69</v>
      </c>
      <c r="O46" s="3">
        <v>64</v>
      </c>
      <c r="P46" s="3">
        <v>67</v>
      </c>
      <c r="Q46" s="3" t="s">
        <v>561</v>
      </c>
      <c r="R46" s="3">
        <v>0</v>
      </c>
      <c r="S46" s="3">
        <v>0</v>
      </c>
      <c r="T46" s="3">
        <v>0</v>
      </c>
      <c r="U46" s="3" t="s">
        <v>43</v>
      </c>
      <c r="V46" s="3" t="s">
        <v>35</v>
      </c>
      <c r="W46" s="3" t="s">
        <v>35</v>
      </c>
      <c r="X46" s="3" t="s">
        <v>35</v>
      </c>
      <c r="Y46" s="3">
        <v>12</v>
      </c>
      <c r="Z46" s="3">
        <v>0</v>
      </c>
      <c r="AA46" s="3">
        <v>0</v>
      </c>
      <c r="AB46" s="3">
        <v>0</v>
      </c>
      <c r="AC46" s="3" t="s">
        <v>506</v>
      </c>
      <c r="AD46" s="3" t="s">
        <v>150</v>
      </c>
      <c r="AE46" s="3">
        <v>4</v>
      </c>
      <c r="AF46" s="3">
        <v>70</v>
      </c>
    </row>
    <row r="47" ht="75" spans="1:32">
      <c r="A47" s="3" t="s">
        <v>567</v>
      </c>
      <c r="B47" t="str">
        <f>_xlfn.DISPIMG("ID_2EB9C63B30D9453CA66A1244E78C3D6F",1)</f>
        <v>=DISPIMG("ID_2EB9C63B30D9453CA66A1244E78C3D6F",1)</v>
      </c>
      <c r="C47" t="s">
        <v>524</v>
      </c>
      <c r="D47" s="3">
        <v>84</v>
      </c>
      <c r="E47" s="3">
        <v>0</v>
      </c>
      <c r="F47" s="3">
        <v>0</v>
      </c>
      <c r="G47" s="3">
        <v>0</v>
      </c>
      <c r="H47" s="3">
        <v>0</v>
      </c>
      <c r="I47" s="3">
        <v>100</v>
      </c>
      <c r="J47" s="3" t="s">
        <v>35</v>
      </c>
      <c r="K47" s="3" t="s">
        <v>35</v>
      </c>
      <c r="L47" s="3">
        <v>80</v>
      </c>
      <c r="M47" s="3">
        <v>50</v>
      </c>
      <c r="N47" s="3">
        <v>35</v>
      </c>
      <c r="O47" s="3">
        <v>50</v>
      </c>
      <c r="P47" s="3">
        <v>65</v>
      </c>
      <c r="Q47" s="3" t="s">
        <v>568</v>
      </c>
      <c r="R47" s="3">
        <v>0</v>
      </c>
      <c r="S47" s="3">
        <v>0</v>
      </c>
      <c r="T47" s="3">
        <v>0</v>
      </c>
      <c r="U47" s="3" t="s">
        <v>43</v>
      </c>
      <c r="V47" s="3" t="s">
        <v>35</v>
      </c>
      <c r="W47" s="3" t="s">
        <v>35</v>
      </c>
      <c r="X47" s="3" t="s">
        <v>35</v>
      </c>
      <c r="Y47" s="3">
        <v>9</v>
      </c>
      <c r="Z47" s="3">
        <v>0</v>
      </c>
      <c r="AA47" s="3">
        <v>0</v>
      </c>
      <c r="AB47" s="3">
        <v>0</v>
      </c>
      <c r="AC47" s="3" t="s">
        <v>506</v>
      </c>
      <c r="AD47" s="3" t="s">
        <v>150</v>
      </c>
      <c r="AE47" s="3">
        <v>3.5</v>
      </c>
      <c r="AF47" s="3">
        <v>55</v>
      </c>
    </row>
    <row r="48" ht="75" spans="1:32">
      <c r="A48" s="3" t="s">
        <v>569</v>
      </c>
      <c r="B48" t="str">
        <f>_xlfn.DISPIMG("ID_18DEC99F8E994664BC7F6E98431C93AD",1)</f>
        <v>=DISPIMG("ID_18DEC99F8E994664BC7F6E98431C93AD",1)</v>
      </c>
      <c r="C48" t="s">
        <v>524</v>
      </c>
      <c r="D48" s="3">
        <v>103</v>
      </c>
      <c r="E48" s="3">
        <v>0</v>
      </c>
      <c r="F48" s="3">
        <v>0</v>
      </c>
      <c r="G48" s="3">
        <v>0</v>
      </c>
      <c r="H48" s="3">
        <v>0</v>
      </c>
      <c r="I48" s="3">
        <v>100</v>
      </c>
      <c r="J48" s="3" t="s">
        <v>35</v>
      </c>
      <c r="K48" s="3" t="s">
        <v>35</v>
      </c>
      <c r="L48" s="3">
        <v>100</v>
      </c>
      <c r="M48" s="3">
        <v>65</v>
      </c>
      <c r="N48" s="3">
        <v>35</v>
      </c>
      <c r="O48" s="3">
        <v>70</v>
      </c>
      <c r="P48" s="3">
        <v>60</v>
      </c>
      <c r="Q48" s="3" t="s">
        <v>570</v>
      </c>
      <c r="R48" s="3">
        <v>0</v>
      </c>
      <c r="S48" s="3">
        <v>0</v>
      </c>
      <c r="T48" s="3">
        <v>0</v>
      </c>
      <c r="U48" s="3" t="s">
        <v>43</v>
      </c>
      <c r="V48" s="3" t="s">
        <v>35</v>
      </c>
      <c r="W48" s="3" t="s">
        <v>35</v>
      </c>
      <c r="X48" s="3" t="s">
        <v>35</v>
      </c>
      <c r="Y48" s="3">
        <v>12</v>
      </c>
      <c r="Z48" s="3">
        <v>0</v>
      </c>
      <c r="AA48" s="3">
        <v>0</v>
      </c>
      <c r="AB48" s="3">
        <v>0</v>
      </c>
      <c r="AC48" s="3" t="s">
        <v>506</v>
      </c>
      <c r="AD48" s="3" t="s">
        <v>150</v>
      </c>
      <c r="AE48" s="3">
        <v>5</v>
      </c>
      <c r="AF48" s="3">
        <v>80</v>
      </c>
    </row>
    <row r="49" customFormat="1" ht="75" spans="1:32">
      <c r="A49" s="3" t="s">
        <v>571</v>
      </c>
      <c r="B49" t="str">
        <f>_xlfn.DISPIMG("ID_2A0A19868A25487D975A2C33025D1D1E",1)</f>
        <v>=DISPIMG("ID_2A0A19868A25487D975A2C33025D1D1E",1)</v>
      </c>
      <c r="C49" t="s">
        <v>572</v>
      </c>
      <c r="D49" s="3">
        <v>143</v>
      </c>
      <c r="E49" s="3">
        <v>0</v>
      </c>
      <c r="F49" s="3">
        <v>0</v>
      </c>
      <c r="G49" s="3">
        <v>0</v>
      </c>
      <c r="H49" s="3">
        <v>0</v>
      </c>
      <c r="I49" s="3">
        <v>100</v>
      </c>
      <c r="J49" s="3" t="s">
        <v>35</v>
      </c>
      <c r="K49" s="3" t="s">
        <v>35</v>
      </c>
      <c r="L49" s="3">
        <v>100</v>
      </c>
      <c r="M49" s="3">
        <v>83</v>
      </c>
      <c r="N49" s="3">
        <v>83</v>
      </c>
      <c r="O49" s="3">
        <v>82</v>
      </c>
      <c r="P49" s="3">
        <v>83</v>
      </c>
      <c r="Q49" s="3" t="s">
        <v>573</v>
      </c>
      <c r="R49" s="3">
        <v>0</v>
      </c>
      <c r="S49" s="3">
        <v>0</v>
      </c>
      <c r="T49" s="3">
        <v>0</v>
      </c>
      <c r="U49" s="3" t="s">
        <v>43</v>
      </c>
      <c r="V49" s="3" t="s">
        <v>35</v>
      </c>
      <c r="W49" s="3" t="s">
        <v>35</v>
      </c>
      <c r="X49" s="3" t="s">
        <v>35</v>
      </c>
      <c r="Y49" s="3">
        <v>40</v>
      </c>
      <c r="Z49" s="3">
        <v>0</v>
      </c>
      <c r="AA49" s="3">
        <v>0</v>
      </c>
      <c r="AB49" s="3">
        <v>0</v>
      </c>
      <c r="AC49" s="3" t="s">
        <v>574</v>
      </c>
      <c r="AD49" s="3" t="s">
        <v>384</v>
      </c>
      <c r="AE49" s="3">
        <v>28</v>
      </c>
      <c r="AF49" s="3">
        <v>270</v>
      </c>
    </row>
    <row r="50" customFormat="1" ht="75" spans="1:32">
      <c r="A50" s="3" t="s">
        <v>575</v>
      </c>
      <c r="B50" t="str">
        <f>_xlfn.DISPIMG("ID_BB970D5FC9FD447688DB75F3E0420EA3",1)</f>
        <v>=DISPIMG("ID_BB970D5FC9FD447688DB75F3E0420EA3",1)</v>
      </c>
      <c r="C50" t="s">
        <v>572</v>
      </c>
      <c r="D50" s="3">
        <v>87</v>
      </c>
      <c r="E50" s="3">
        <v>0</v>
      </c>
      <c r="F50" s="3">
        <v>0</v>
      </c>
      <c r="G50" s="3">
        <v>0</v>
      </c>
      <c r="H50" s="3">
        <v>0</v>
      </c>
      <c r="I50" s="3">
        <v>100</v>
      </c>
      <c r="J50" s="3" t="s">
        <v>35</v>
      </c>
      <c r="K50" s="3" t="s">
        <v>35</v>
      </c>
      <c r="L50" s="3">
        <v>77</v>
      </c>
      <c r="M50" s="3">
        <v>45</v>
      </c>
      <c r="N50" s="3">
        <v>43</v>
      </c>
      <c r="O50" s="3">
        <v>46</v>
      </c>
      <c r="P50" s="3">
        <v>45</v>
      </c>
      <c r="Q50" s="3" t="s">
        <v>576</v>
      </c>
      <c r="R50" s="3">
        <v>0</v>
      </c>
      <c r="S50" s="3">
        <v>0</v>
      </c>
      <c r="T50" s="3">
        <v>0</v>
      </c>
      <c r="U50" s="3" t="s">
        <v>43</v>
      </c>
      <c r="V50" s="3" t="s">
        <v>35</v>
      </c>
      <c r="W50" s="3" t="s">
        <v>35</v>
      </c>
      <c r="X50" s="3" t="s">
        <v>35</v>
      </c>
      <c r="Y50" s="3">
        <v>16</v>
      </c>
      <c r="Z50" s="3">
        <v>0</v>
      </c>
      <c r="AA50" s="3">
        <v>0</v>
      </c>
      <c r="AB50" s="3">
        <v>0</v>
      </c>
      <c r="AC50" s="3" t="s">
        <v>506</v>
      </c>
      <c r="AD50" s="3" t="s">
        <v>150</v>
      </c>
      <c r="AE50" s="3">
        <v>6.5</v>
      </c>
      <c r="AF50" s="3">
        <v>105</v>
      </c>
    </row>
    <row r="51" customFormat="1" ht="75" spans="1:32">
      <c r="A51" s="3" t="s">
        <v>577</v>
      </c>
      <c r="B51" t="str">
        <f>_xlfn.DISPIMG("ID_4DEC39854D564798AC541D97AEFF4802",1)</f>
        <v>=DISPIMG("ID_4DEC39854D564798AC541D97AEFF4802",1)</v>
      </c>
      <c r="C51" t="s">
        <v>572</v>
      </c>
      <c r="D51" s="3">
        <v>111</v>
      </c>
      <c r="E51" s="3">
        <v>0</v>
      </c>
      <c r="F51" s="3">
        <v>0</v>
      </c>
      <c r="G51" s="3">
        <v>0</v>
      </c>
      <c r="H51" s="3">
        <v>0</v>
      </c>
      <c r="I51" s="3">
        <v>100</v>
      </c>
      <c r="J51" s="3" t="s">
        <v>35</v>
      </c>
      <c r="K51" s="3" t="s">
        <v>35</v>
      </c>
      <c r="L51" s="3">
        <v>100</v>
      </c>
      <c r="M51" s="3">
        <v>83</v>
      </c>
      <c r="N51" s="3">
        <v>66</v>
      </c>
      <c r="O51" s="3">
        <v>54</v>
      </c>
      <c r="P51" s="3">
        <v>63</v>
      </c>
      <c r="Q51" s="3" t="s">
        <v>578</v>
      </c>
      <c r="R51" s="3">
        <v>0</v>
      </c>
      <c r="S51" s="3">
        <v>0</v>
      </c>
      <c r="T51" s="3">
        <v>0</v>
      </c>
      <c r="U51" s="3" t="s">
        <v>43</v>
      </c>
      <c r="V51" s="3" t="s">
        <v>35</v>
      </c>
      <c r="W51" s="3" t="s">
        <v>35</v>
      </c>
      <c r="X51" s="3" t="s">
        <v>35</v>
      </c>
      <c r="Y51" s="3">
        <v>36</v>
      </c>
      <c r="Z51" s="3">
        <v>0</v>
      </c>
      <c r="AA51" s="3">
        <v>0</v>
      </c>
      <c r="AB51" s="3">
        <v>0</v>
      </c>
      <c r="AC51" s="3" t="s">
        <v>500</v>
      </c>
      <c r="AD51" s="3" t="s">
        <v>384</v>
      </c>
      <c r="AE51" s="3">
        <v>15</v>
      </c>
      <c r="AF51" s="3">
        <v>140</v>
      </c>
    </row>
    <row r="52" customFormat="1" ht="75" spans="1:32">
      <c r="A52" s="3" t="s">
        <v>579</v>
      </c>
      <c r="B52" t="str">
        <f>_xlfn.DISPIMG("ID_CE71F43A07094B89B163EBAF68E62585",1)</f>
        <v>=DISPIMG("ID_CE71F43A07094B89B163EBAF68E62585",1)</v>
      </c>
      <c r="C52" t="s">
        <v>572</v>
      </c>
      <c r="D52" s="3">
        <v>112</v>
      </c>
      <c r="E52" s="3">
        <v>0</v>
      </c>
      <c r="F52" s="3">
        <v>0</v>
      </c>
      <c r="G52" s="3">
        <v>0</v>
      </c>
      <c r="H52" s="3">
        <v>0</v>
      </c>
      <c r="I52" s="3">
        <v>100</v>
      </c>
      <c r="J52" s="3" t="s">
        <v>35</v>
      </c>
      <c r="K52" s="3" t="s">
        <v>35</v>
      </c>
      <c r="L52" s="3">
        <v>100</v>
      </c>
      <c r="M52" s="3">
        <v>63</v>
      </c>
      <c r="N52" s="3">
        <v>60</v>
      </c>
      <c r="O52" s="3">
        <v>54</v>
      </c>
      <c r="P52" s="3">
        <v>83</v>
      </c>
      <c r="Q52" s="3" t="s">
        <v>580</v>
      </c>
      <c r="R52" s="3">
        <v>0</v>
      </c>
      <c r="S52" s="3">
        <v>0</v>
      </c>
      <c r="T52" s="3">
        <v>0</v>
      </c>
      <c r="U52" s="3" t="s">
        <v>43</v>
      </c>
      <c r="V52" s="3" t="s">
        <v>35</v>
      </c>
      <c r="W52" s="3" t="s">
        <v>35</v>
      </c>
      <c r="X52" s="3" t="s">
        <v>35</v>
      </c>
      <c r="Y52" s="3">
        <v>32</v>
      </c>
      <c r="Z52" s="3">
        <v>0</v>
      </c>
      <c r="AA52" s="3">
        <v>0</v>
      </c>
      <c r="AB52" s="3">
        <v>0</v>
      </c>
      <c r="AC52" s="3" t="s">
        <v>500</v>
      </c>
      <c r="AD52" s="3" t="s">
        <v>384</v>
      </c>
      <c r="AE52" s="3">
        <v>15.5</v>
      </c>
      <c r="AF52" s="3">
        <v>150</v>
      </c>
    </row>
    <row r="53" customFormat="1" ht="75" spans="1:32">
      <c r="A53" s="3" t="s">
        <v>581</v>
      </c>
      <c r="B53" t="str">
        <f>_xlfn.DISPIMG("ID_2C4D4B9088484E169BD2499DB2199DC8",1)</f>
        <v>=DISPIMG("ID_2C4D4B9088484E169BD2499DB2199DC8",1)</v>
      </c>
      <c r="C53" t="s">
        <v>572</v>
      </c>
      <c r="D53" s="3">
        <v>134</v>
      </c>
      <c r="E53" s="3">
        <v>0</v>
      </c>
      <c r="F53" s="3">
        <v>0</v>
      </c>
      <c r="G53" s="3">
        <v>0</v>
      </c>
      <c r="H53" s="3">
        <v>0</v>
      </c>
      <c r="I53" s="3">
        <v>100</v>
      </c>
      <c r="J53" s="3" t="s">
        <v>35</v>
      </c>
      <c r="K53" s="3" t="s">
        <v>35</v>
      </c>
      <c r="L53" s="3">
        <v>100</v>
      </c>
      <c r="M53" s="3">
        <v>71</v>
      </c>
      <c r="N53" s="3">
        <v>70</v>
      </c>
      <c r="O53" s="3">
        <v>95</v>
      </c>
      <c r="P53" s="3">
        <v>77</v>
      </c>
      <c r="Q53" s="3" t="s">
        <v>582</v>
      </c>
      <c r="R53" s="3">
        <v>0</v>
      </c>
      <c r="S53" s="3">
        <v>0</v>
      </c>
      <c r="T53" s="3">
        <v>0</v>
      </c>
      <c r="U53" s="3" t="s">
        <v>43</v>
      </c>
      <c r="V53" s="3" t="s">
        <v>35</v>
      </c>
      <c r="W53" s="3" t="s">
        <v>35</v>
      </c>
      <c r="X53" s="3" t="s">
        <v>35</v>
      </c>
      <c r="Y53" s="3">
        <v>38</v>
      </c>
      <c r="Z53" s="3">
        <v>0</v>
      </c>
      <c r="AA53" s="3">
        <v>0</v>
      </c>
      <c r="AB53" s="3">
        <v>0</v>
      </c>
      <c r="AC53" s="3" t="s">
        <v>500</v>
      </c>
      <c r="AD53" s="3" t="s">
        <v>384</v>
      </c>
      <c r="AE53" s="3">
        <v>26</v>
      </c>
      <c r="AF53" s="3">
        <v>190</v>
      </c>
    </row>
    <row r="54" customFormat="1" ht="75" spans="1:32">
      <c r="A54" s="3" t="s">
        <v>583</v>
      </c>
      <c r="B54" t="str">
        <f>_xlfn.DISPIMG("ID_B0E9325B0B344F59A659EA5AD9EA8482",1)</f>
        <v>=DISPIMG("ID_B0E9325B0B344F59A659EA5AD9EA8482",1)</v>
      </c>
      <c r="C54" t="s">
        <v>572</v>
      </c>
      <c r="D54" s="3">
        <v>136</v>
      </c>
      <c r="E54" s="3">
        <v>0</v>
      </c>
      <c r="F54" s="3">
        <v>0</v>
      </c>
      <c r="G54" s="3">
        <v>0</v>
      </c>
      <c r="H54" s="3">
        <v>0</v>
      </c>
      <c r="I54" s="3">
        <v>100</v>
      </c>
      <c r="J54" s="3" t="s">
        <v>35</v>
      </c>
      <c r="K54" s="3" t="s">
        <v>35</v>
      </c>
      <c r="L54" s="3">
        <v>100</v>
      </c>
      <c r="M54" s="3">
        <v>81</v>
      </c>
      <c r="N54" s="3">
        <v>69</v>
      </c>
      <c r="O54" s="3">
        <v>76</v>
      </c>
      <c r="P54" s="3">
        <v>67</v>
      </c>
      <c r="Q54" s="3" t="s">
        <v>584</v>
      </c>
      <c r="R54" s="3">
        <v>0</v>
      </c>
      <c r="S54" s="3">
        <v>0</v>
      </c>
      <c r="T54" s="3">
        <v>0</v>
      </c>
      <c r="U54" s="3" t="s">
        <v>43</v>
      </c>
      <c r="V54" s="3" t="s">
        <v>35</v>
      </c>
      <c r="W54" s="3" t="s">
        <v>35</v>
      </c>
      <c r="X54" s="3" t="s">
        <v>35</v>
      </c>
      <c r="Y54" s="3">
        <v>50</v>
      </c>
      <c r="Z54" s="3">
        <v>0</v>
      </c>
      <c r="AA54" s="3">
        <v>0</v>
      </c>
      <c r="AB54" s="3">
        <v>0</v>
      </c>
      <c r="AC54" s="3" t="s">
        <v>585</v>
      </c>
      <c r="AD54" s="3" t="s">
        <v>167</v>
      </c>
      <c r="AE54" s="3">
        <v>21.5</v>
      </c>
      <c r="AF54" s="3">
        <v>205</v>
      </c>
    </row>
    <row r="55" customFormat="1" ht="75" spans="1:32">
      <c r="A55" s="3" t="s">
        <v>586</v>
      </c>
      <c r="B55" t="str">
        <f>_xlfn.DISPIMG("ID_68F05C000312415DA76C17DDE3823103",1)</f>
        <v>=DISPIMG("ID_68F05C000312415DA76C17DDE3823103",1)</v>
      </c>
      <c r="C55" t="s">
        <v>572</v>
      </c>
      <c r="D55" s="3">
        <v>132</v>
      </c>
      <c r="E55" s="3">
        <v>0</v>
      </c>
      <c r="F55" s="3">
        <v>0</v>
      </c>
      <c r="G55" s="3">
        <v>0</v>
      </c>
      <c r="H55" s="3">
        <v>0</v>
      </c>
      <c r="I55" s="3">
        <v>100</v>
      </c>
      <c r="J55" s="3" t="s">
        <v>35</v>
      </c>
      <c r="K55" s="3" t="s">
        <v>35</v>
      </c>
      <c r="L55" s="3">
        <v>100</v>
      </c>
      <c r="M55" s="3">
        <v>74</v>
      </c>
      <c r="N55" s="3">
        <v>76</v>
      </c>
      <c r="O55" s="3">
        <v>63</v>
      </c>
      <c r="P55" s="3">
        <v>74</v>
      </c>
      <c r="Q55" s="3" t="s">
        <v>587</v>
      </c>
      <c r="R55" s="3">
        <v>0</v>
      </c>
      <c r="S55" s="3">
        <v>0</v>
      </c>
      <c r="T55" s="3">
        <v>0</v>
      </c>
      <c r="U55" s="3" t="s">
        <v>43</v>
      </c>
      <c r="V55" s="3" t="s">
        <v>35</v>
      </c>
      <c r="W55" s="3" t="s">
        <v>35</v>
      </c>
      <c r="X55" s="3" t="s">
        <v>35</v>
      </c>
      <c r="Y55" s="3">
        <v>40</v>
      </c>
      <c r="Z55" s="3">
        <v>0</v>
      </c>
      <c r="AA55" s="3">
        <v>0</v>
      </c>
      <c r="AB55" s="3">
        <v>0</v>
      </c>
      <c r="AC55" s="3" t="s">
        <v>500</v>
      </c>
      <c r="AD55" s="3" t="s">
        <v>384</v>
      </c>
      <c r="AE55" s="3">
        <v>20.5</v>
      </c>
      <c r="AF55" s="3">
        <v>205</v>
      </c>
    </row>
    <row r="56" customFormat="1" ht="75" spans="1:32">
      <c r="A56" s="3" t="s">
        <v>588</v>
      </c>
      <c r="B56" t="str">
        <f>_xlfn.DISPIMG("ID_B063F91C500343E59F333B7AB471FFA4",1)</f>
        <v>=DISPIMG("ID_B063F91C500343E59F333B7AB471FFA4",1)</v>
      </c>
      <c r="C56" t="s">
        <v>572</v>
      </c>
      <c r="D56" s="3">
        <v>112</v>
      </c>
      <c r="E56" s="3">
        <v>0</v>
      </c>
      <c r="F56" s="3">
        <v>0</v>
      </c>
      <c r="G56" s="3">
        <v>0</v>
      </c>
      <c r="H56" s="3">
        <v>0</v>
      </c>
      <c r="I56" s="3">
        <v>100</v>
      </c>
      <c r="J56" s="3" t="s">
        <v>35</v>
      </c>
      <c r="K56" s="3" t="s">
        <v>35</v>
      </c>
      <c r="L56" s="3">
        <v>100</v>
      </c>
      <c r="M56" s="3">
        <v>69</v>
      </c>
      <c r="N56" s="3">
        <v>83</v>
      </c>
      <c r="O56" s="3">
        <v>53</v>
      </c>
      <c r="P56" s="3">
        <v>69</v>
      </c>
      <c r="Q56" s="3" t="s">
        <v>578</v>
      </c>
      <c r="R56" s="3">
        <v>0</v>
      </c>
      <c r="S56" s="3">
        <v>0</v>
      </c>
      <c r="T56" s="3">
        <v>0</v>
      </c>
      <c r="U56" s="3" t="s">
        <v>43</v>
      </c>
      <c r="V56" s="3" t="s">
        <v>35</v>
      </c>
      <c r="W56" s="3" t="s">
        <v>35</v>
      </c>
      <c r="X56" s="3" t="s">
        <v>35</v>
      </c>
      <c r="Y56" s="3">
        <v>32</v>
      </c>
      <c r="Z56" s="3">
        <v>0</v>
      </c>
      <c r="AA56" s="3">
        <v>0</v>
      </c>
      <c r="AB56" s="3">
        <v>0</v>
      </c>
      <c r="AC56" s="3" t="s">
        <v>500</v>
      </c>
      <c r="AD56" s="3" t="s">
        <v>384</v>
      </c>
      <c r="AE56" s="3">
        <v>14.5</v>
      </c>
      <c r="AF56" s="3">
        <v>150</v>
      </c>
    </row>
    <row r="57" customFormat="1" ht="75" spans="1:32">
      <c r="A57" s="3" t="s">
        <v>589</v>
      </c>
      <c r="B57" t="str">
        <f>_xlfn.DISPIMG("ID_33CF6B05ECDD44788C75D8811E13F53A",1)</f>
        <v>=DISPIMG("ID_33CF6B05ECDD44788C75D8811E13F53A",1)</v>
      </c>
      <c r="C57" t="s">
        <v>572</v>
      </c>
      <c r="D57" s="3">
        <v>124</v>
      </c>
      <c r="E57" s="3">
        <v>0</v>
      </c>
      <c r="F57" s="3">
        <v>0</v>
      </c>
      <c r="G57" s="3">
        <v>0</v>
      </c>
      <c r="H57" s="3">
        <v>0</v>
      </c>
      <c r="I57" s="3">
        <v>100</v>
      </c>
      <c r="J57" s="3" t="s">
        <v>35</v>
      </c>
      <c r="K57" s="3" t="s">
        <v>35</v>
      </c>
      <c r="L57" s="3">
        <v>100</v>
      </c>
      <c r="M57" s="3">
        <v>68</v>
      </c>
      <c r="N57" s="3">
        <v>65</v>
      </c>
      <c r="O57" s="3">
        <v>52</v>
      </c>
      <c r="P57" s="3">
        <v>68</v>
      </c>
      <c r="Q57" s="3" t="s">
        <v>590</v>
      </c>
      <c r="R57" s="3">
        <v>0</v>
      </c>
      <c r="S57" s="3">
        <v>0</v>
      </c>
      <c r="T57" s="3">
        <v>0</v>
      </c>
      <c r="U57" s="3" t="s">
        <v>43</v>
      </c>
      <c r="V57" s="3" t="s">
        <v>35</v>
      </c>
      <c r="W57" s="3" t="s">
        <v>35</v>
      </c>
      <c r="X57" s="3" t="s">
        <v>35</v>
      </c>
      <c r="Y57" s="3">
        <v>30</v>
      </c>
      <c r="Z57" s="3">
        <v>0</v>
      </c>
      <c r="AA57" s="3">
        <v>0</v>
      </c>
      <c r="AB57" s="3">
        <v>0</v>
      </c>
      <c r="AC57" s="3" t="s">
        <v>506</v>
      </c>
      <c r="AD57" s="3" t="s">
        <v>150</v>
      </c>
      <c r="AE57" s="3">
        <v>11</v>
      </c>
      <c r="AF57" s="3">
        <v>140</v>
      </c>
    </row>
    <row r="58" customFormat="1" ht="75" spans="1:32">
      <c r="A58" s="3" t="s">
        <v>591</v>
      </c>
      <c r="B58" t="str">
        <f>_xlfn.DISPIMG("ID_803D97A343654D549B6C2606F737E6AB",1)</f>
        <v>=DISPIMG("ID_803D97A343654D549B6C2606F737E6AB",1)</v>
      </c>
      <c r="C58" t="s">
        <v>572</v>
      </c>
      <c r="D58" s="3">
        <v>106</v>
      </c>
      <c r="E58" s="3">
        <v>0</v>
      </c>
      <c r="F58" s="3">
        <v>0</v>
      </c>
      <c r="G58" s="3">
        <v>0</v>
      </c>
      <c r="H58" s="3">
        <v>0</v>
      </c>
      <c r="I58" s="3">
        <v>100</v>
      </c>
      <c r="J58" s="3" t="s">
        <v>35</v>
      </c>
      <c r="K58" s="3" t="s">
        <v>35</v>
      </c>
      <c r="L58" s="3">
        <v>84</v>
      </c>
      <c r="M58" s="3">
        <v>59</v>
      </c>
      <c r="N58" s="3">
        <v>63</v>
      </c>
      <c r="O58" s="3">
        <v>66</v>
      </c>
      <c r="P58" s="3">
        <v>59</v>
      </c>
      <c r="Q58" s="3" t="s">
        <v>592</v>
      </c>
      <c r="R58" s="3">
        <v>0</v>
      </c>
      <c r="S58" s="3">
        <v>0</v>
      </c>
      <c r="T58" s="3">
        <v>0</v>
      </c>
      <c r="U58" s="3" t="s">
        <v>43</v>
      </c>
      <c r="V58" s="3" t="s">
        <v>35</v>
      </c>
      <c r="W58" s="3" t="s">
        <v>35</v>
      </c>
      <c r="X58" s="3" t="s">
        <v>35</v>
      </c>
      <c r="Y58" s="3">
        <v>16</v>
      </c>
      <c r="Z58" s="3">
        <v>0</v>
      </c>
      <c r="AA58" s="3">
        <v>0</v>
      </c>
      <c r="AB58" s="3">
        <v>0</v>
      </c>
      <c r="AC58" s="3" t="s">
        <v>500</v>
      </c>
      <c r="AD58" s="3" t="s">
        <v>384</v>
      </c>
      <c r="AE58" s="3">
        <v>7</v>
      </c>
      <c r="AF58" s="3">
        <v>105</v>
      </c>
    </row>
    <row r="59" customFormat="1" ht="75" spans="1:32">
      <c r="A59" s="3" t="s">
        <v>593</v>
      </c>
      <c r="B59" t="str">
        <f>_xlfn.DISPIMG("ID_C0512944E27140D1BBA5AAA9A9E80E3C",1)</f>
        <v>=DISPIMG("ID_C0512944E27140D1BBA5AAA9A9E80E3C",1)</v>
      </c>
      <c r="C59" t="s">
        <v>572</v>
      </c>
      <c r="D59" s="3">
        <v>134</v>
      </c>
      <c r="E59" s="3">
        <v>0</v>
      </c>
      <c r="F59" s="3">
        <v>0</v>
      </c>
      <c r="G59" s="3">
        <v>0</v>
      </c>
      <c r="H59" s="3">
        <v>0</v>
      </c>
      <c r="I59" s="3">
        <v>100</v>
      </c>
      <c r="J59" s="3" t="s">
        <v>35</v>
      </c>
      <c r="K59" s="3" t="s">
        <v>35</v>
      </c>
      <c r="L59" s="3">
        <v>100</v>
      </c>
      <c r="M59" s="3">
        <v>70</v>
      </c>
      <c r="N59" s="3">
        <v>65</v>
      </c>
      <c r="O59" s="3">
        <v>52</v>
      </c>
      <c r="P59" s="3">
        <v>63</v>
      </c>
      <c r="Q59" s="3" t="s">
        <v>594</v>
      </c>
      <c r="R59" s="3">
        <v>0</v>
      </c>
      <c r="S59" s="3">
        <v>0</v>
      </c>
      <c r="T59" s="3">
        <v>0</v>
      </c>
      <c r="U59" s="3" t="s">
        <v>43</v>
      </c>
      <c r="V59" s="3" t="s">
        <v>35</v>
      </c>
      <c r="W59" s="3" t="s">
        <v>35</v>
      </c>
      <c r="X59" s="3" t="s">
        <v>35</v>
      </c>
      <c r="Y59" s="3">
        <v>40</v>
      </c>
      <c r="Z59" s="3">
        <v>0</v>
      </c>
      <c r="AA59" s="3">
        <v>0</v>
      </c>
      <c r="AB59" s="3">
        <v>0</v>
      </c>
      <c r="AC59" s="3" t="s">
        <v>500</v>
      </c>
      <c r="AD59" s="3" t="s">
        <v>384</v>
      </c>
      <c r="AE59" s="3">
        <v>18.5</v>
      </c>
      <c r="AF59" s="3">
        <v>190</v>
      </c>
    </row>
    <row r="60" customFormat="1" ht="75" spans="1:32">
      <c r="A60" s="3" t="s">
        <v>595</v>
      </c>
      <c r="B60" t="str">
        <f>_xlfn.DISPIMG("ID_BCE3543D37C04158A286AC2AA6268925",1)</f>
        <v>=DISPIMG("ID_BCE3543D37C04158A286AC2AA6268925",1)</v>
      </c>
      <c r="C60" t="s">
        <v>572</v>
      </c>
      <c r="D60" s="3">
        <v>125</v>
      </c>
      <c r="E60" s="3">
        <v>0</v>
      </c>
      <c r="F60" s="3">
        <v>0</v>
      </c>
      <c r="G60" s="3">
        <v>0</v>
      </c>
      <c r="H60" s="3">
        <v>0</v>
      </c>
      <c r="I60" s="3">
        <v>100</v>
      </c>
      <c r="J60" s="3" t="s">
        <v>35</v>
      </c>
      <c r="K60" s="3" t="s">
        <v>35</v>
      </c>
      <c r="L60" s="3">
        <v>100</v>
      </c>
      <c r="M60" s="3">
        <v>75</v>
      </c>
      <c r="N60" s="3">
        <v>69</v>
      </c>
      <c r="O60" s="3">
        <v>63</v>
      </c>
      <c r="P60" s="3">
        <v>75</v>
      </c>
      <c r="Q60" s="3" t="s">
        <v>596</v>
      </c>
      <c r="R60" s="3">
        <v>0</v>
      </c>
      <c r="S60" s="3">
        <v>0</v>
      </c>
      <c r="T60" s="3">
        <v>0</v>
      </c>
      <c r="U60" s="3" t="s">
        <v>43</v>
      </c>
      <c r="V60" s="3" t="s">
        <v>35</v>
      </c>
      <c r="W60" s="3" t="s">
        <v>35</v>
      </c>
      <c r="X60" s="3" t="s">
        <v>35</v>
      </c>
      <c r="Y60" s="3">
        <v>34</v>
      </c>
      <c r="Z60" s="3">
        <v>0</v>
      </c>
      <c r="AA60" s="3">
        <v>0</v>
      </c>
      <c r="AB60" s="3">
        <v>0</v>
      </c>
      <c r="AC60" s="3" t="s">
        <v>506</v>
      </c>
      <c r="AD60" s="3" t="s">
        <v>150</v>
      </c>
      <c r="AE60" s="3">
        <v>17</v>
      </c>
      <c r="AF60" s="3">
        <v>150</v>
      </c>
    </row>
    <row r="61" customFormat="1" ht="75" spans="1:32">
      <c r="A61" s="3" t="s">
        <v>597</v>
      </c>
      <c r="B61" t="str">
        <f>_xlfn.DISPIMG("ID_70140BE94B374301876C5FFDAE584024",1)</f>
        <v>=DISPIMG("ID_70140BE94B374301876C5FFDAE584024",1)</v>
      </c>
      <c r="C61" t="s">
        <v>572</v>
      </c>
      <c r="D61" s="3">
        <v>111</v>
      </c>
      <c r="E61" s="3">
        <v>0</v>
      </c>
      <c r="F61" s="3">
        <v>0</v>
      </c>
      <c r="G61" s="3">
        <v>0</v>
      </c>
      <c r="H61" s="3">
        <v>0</v>
      </c>
      <c r="I61" s="3">
        <v>100</v>
      </c>
      <c r="J61" s="3" t="s">
        <v>35</v>
      </c>
      <c r="K61" s="3" t="s">
        <v>35</v>
      </c>
      <c r="L61" s="3">
        <v>100</v>
      </c>
      <c r="M61" s="3">
        <v>63</v>
      </c>
      <c r="N61" s="3">
        <v>59</v>
      </c>
      <c r="O61" s="3">
        <v>54</v>
      </c>
      <c r="P61" s="3">
        <v>63</v>
      </c>
      <c r="Q61" s="3" t="s">
        <v>598</v>
      </c>
      <c r="R61" s="3">
        <v>0</v>
      </c>
      <c r="S61" s="3">
        <v>0</v>
      </c>
      <c r="T61" s="3">
        <v>0</v>
      </c>
      <c r="U61" s="3" t="s">
        <v>43</v>
      </c>
      <c r="V61" s="3" t="s">
        <v>35</v>
      </c>
      <c r="W61" s="3" t="s">
        <v>35</v>
      </c>
      <c r="X61" s="3" t="s">
        <v>35</v>
      </c>
      <c r="Y61" s="3">
        <v>30</v>
      </c>
      <c r="Z61" s="3">
        <v>10</v>
      </c>
      <c r="AA61" s="3">
        <v>0</v>
      </c>
      <c r="AB61" s="3">
        <v>0</v>
      </c>
      <c r="AC61" s="3" t="s">
        <v>599</v>
      </c>
      <c r="AD61" s="3" t="s">
        <v>299</v>
      </c>
      <c r="AE61" s="3">
        <v>15</v>
      </c>
      <c r="AF61" s="3">
        <v>115</v>
      </c>
    </row>
    <row r="62" customFormat="1" ht="75" spans="1:32">
      <c r="A62" s="3" t="s">
        <v>600</v>
      </c>
      <c r="B62" t="str">
        <f>_xlfn.DISPIMG("ID_831066FE7A60496A90314E7724490912",1)</f>
        <v>=DISPIMG("ID_831066FE7A60496A90314E7724490912",1)</v>
      </c>
      <c r="C62" t="s">
        <v>572</v>
      </c>
      <c r="D62" s="3">
        <v>115</v>
      </c>
      <c r="E62" s="3">
        <v>0</v>
      </c>
      <c r="F62" s="3">
        <v>0</v>
      </c>
      <c r="G62" s="3">
        <v>0</v>
      </c>
      <c r="H62" s="3">
        <v>0</v>
      </c>
      <c r="I62" s="3">
        <v>100</v>
      </c>
      <c r="J62" s="3" t="s">
        <v>35</v>
      </c>
      <c r="K62" s="3" t="s">
        <v>35</v>
      </c>
      <c r="L62" s="3">
        <v>100</v>
      </c>
      <c r="M62" s="3">
        <v>75</v>
      </c>
      <c r="N62" s="3">
        <v>71</v>
      </c>
      <c r="O62" s="3">
        <v>71</v>
      </c>
      <c r="P62" s="3">
        <v>75</v>
      </c>
      <c r="Q62" s="3" t="s">
        <v>580</v>
      </c>
      <c r="R62" s="3">
        <v>0</v>
      </c>
      <c r="S62" s="3">
        <v>0</v>
      </c>
      <c r="T62" s="3">
        <v>0</v>
      </c>
      <c r="U62" s="3" t="s">
        <v>43</v>
      </c>
      <c r="V62" s="3" t="s">
        <v>35</v>
      </c>
      <c r="W62" s="3" t="s">
        <v>35</v>
      </c>
      <c r="X62" s="3" t="s">
        <v>35</v>
      </c>
      <c r="Y62" s="3">
        <v>38</v>
      </c>
      <c r="Z62" s="3">
        <v>0</v>
      </c>
      <c r="AA62" s="3">
        <v>0</v>
      </c>
      <c r="AB62" s="3">
        <v>0</v>
      </c>
      <c r="AC62" s="3" t="s">
        <v>500</v>
      </c>
      <c r="AD62" s="3" t="s">
        <v>384</v>
      </c>
      <c r="AE62" s="3">
        <v>18</v>
      </c>
      <c r="AF62" s="3">
        <v>170</v>
      </c>
    </row>
    <row r="63" customFormat="1" ht="75" spans="1:32">
      <c r="A63" s="3" t="s">
        <v>601</v>
      </c>
      <c r="B63" t="str">
        <f>_xlfn.DISPIMG("ID_A5ADA94705B24635B21D1A7D0A0A9448",1)</f>
        <v>=DISPIMG("ID_A5ADA94705B24635B21D1A7D0A0A9448",1)</v>
      </c>
      <c r="C63" t="s">
        <v>572</v>
      </c>
      <c r="D63" s="3">
        <v>107</v>
      </c>
      <c r="E63" s="3">
        <v>0</v>
      </c>
      <c r="F63" s="3">
        <v>0</v>
      </c>
      <c r="G63" s="3">
        <v>0</v>
      </c>
      <c r="H63" s="3">
        <v>0</v>
      </c>
      <c r="I63" s="3">
        <v>100</v>
      </c>
      <c r="J63" s="3" t="s">
        <v>35</v>
      </c>
      <c r="K63" s="3" t="s">
        <v>35</v>
      </c>
      <c r="L63" s="3">
        <v>100</v>
      </c>
      <c r="M63" s="3">
        <v>75</v>
      </c>
      <c r="N63" s="3">
        <v>45</v>
      </c>
      <c r="O63" s="3">
        <v>80</v>
      </c>
      <c r="P63" s="3">
        <v>75</v>
      </c>
      <c r="Q63" s="3" t="s">
        <v>602</v>
      </c>
      <c r="R63" s="3">
        <v>0</v>
      </c>
      <c r="S63" s="3">
        <v>0</v>
      </c>
      <c r="T63" s="3">
        <v>0</v>
      </c>
      <c r="U63" s="3" t="s">
        <v>53</v>
      </c>
      <c r="V63" s="3" t="s">
        <v>35</v>
      </c>
      <c r="W63" s="3" t="s">
        <v>35</v>
      </c>
      <c r="X63" s="3" t="s">
        <v>35</v>
      </c>
      <c r="Y63" s="3">
        <v>45</v>
      </c>
      <c r="Z63" s="3">
        <v>0</v>
      </c>
      <c r="AA63" s="3">
        <v>0</v>
      </c>
      <c r="AB63" s="3">
        <v>0</v>
      </c>
      <c r="AC63" s="3" t="s">
        <v>603</v>
      </c>
      <c r="AD63" s="3">
        <f>-(17/20)</f>
        <v>-0.85</v>
      </c>
      <c r="AE63" s="3">
        <v>21.5</v>
      </c>
      <c r="AF63" s="3">
        <v>150</v>
      </c>
    </row>
    <row r="64" customFormat="1" ht="75" spans="1:32">
      <c r="A64" s="3" t="s">
        <v>604</v>
      </c>
      <c r="B64" t="str">
        <f>_xlfn.DISPIMG("ID_809AFAC7F1C44E34BBD043609D1D543E",1)</f>
        <v>=DISPIMG("ID_809AFAC7F1C44E34BBD043609D1D543E",1)</v>
      </c>
      <c r="C64" t="s">
        <v>572</v>
      </c>
      <c r="D64" s="3">
        <v>145</v>
      </c>
      <c r="E64" s="3">
        <v>0</v>
      </c>
      <c r="F64" s="3">
        <v>0</v>
      </c>
      <c r="G64" s="3">
        <v>0</v>
      </c>
      <c r="H64" s="3">
        <v>0</v>
      </c>
      <c r="I64" s="3">
        <v>100</v>
      </c>
      <c r="J64" s="3" t="s">
        <v>35</v>
      </c>
      <c r="K64" s="3" t="s">
        <v>35</v>
      </c>
      <c r="L64" s="3">
        <v>100</v>
      </c>
      <c r="M64" s="3">
        <v>55</v>
      </c>
      <c r="N64" s="3">
        <v>90</v>
      </c>
      <c r="O64" s="3">
        <v>30</v>
      </c>
      <c r="P64" s="3">
        <v>55</v>
      </c>
      <c r="Q64" s="3" t="s">
        <v>605</v>
      </c>
      <c r="R64" s="3">
        <v>0</v>
      </c>
      <c r="S64" s="3">
        <v>0</v>
      </c>
      <c r="T64" s="3">
        <v>0</v>
      </c>
      <c r="U64" s="3" t="s">
        <v>43</v>
      </c>
      <c r="V64" s="3" t="s">
        <v>35</v>
      </c>
      <c r="W64" s="3" t="s">
        <v>35</v>
      </c>
      <c r="X64" s="3" t="s">
        <v>34</v>
      </c>
      <c r="Y64" s="3">
        <v>35</v>
      </c>
      <c r="Z64" s="3">
        <v>0</v>
      </c>
      <c r="AA64" s="3">
        <v>0</v>
      </c>
      <c r="AB64" s="3">
        <v>15</v>
      </c>
      <c r="AC64" s="3" t="s">
        <v>606</v>
      </c>
      <c r="AD64" s="3" t="s">
        <v>384</v>
      </c>
      <c r="AE64" s="3">
        <v>18</v>
      </c>
      <c r="AF64" s="3">
        <v>150</v>
      </c>
    </row>
  </sheetData>
  <hyperlinks>
    <hyperlink ref="A2" r:id="rId2" display="小圆盾" tooltip="/dark_souls_3/baike3190?wid=762"/>
    <hyperlink ref="AC2" r:id="rId3" display="格挡" tooltip="/dark_souls_3/item12135?wid=762"/>
    <hyperlink ref="A3" r:id="rId4" display="小皮盾" tooltip="/dark_souls_3/baike3191?wid=762"/>
    <hyperlink ref="AC3" r:id="rId3" display="格挡" tooltip="/dark_souls_3/item12135?wid=762"/>
    <hyperlink ref="A4" r:id="rId5" display="霍克伍德盾" tooltip="/dark_souls_3/baike3194?wid=762"/>
    <hyperlink ref="AC4" r:id="rId3" display="格挡" tooltip="/dark_souls_3/item12135?wid=762"/>
    <hyperlink ref="A5" r:id="rId6" display="铁圆盾" tooltip="/dark_souls_3/baike3195?wid=762"/>
    <hyperlink ref="AC5" r:id="rId3" display="格挡" tooltip="/dark_souls_3/item12135?wid=762"/>
    <hyperlink ref="A6" r:id="rId7" display="咕鲁腐败盾" tooltip="/dark_souls_3/baike3198?wid=762"/>
    <hyperlink ref="AC6" r:id="rId8" display="盾牌冲击" tooltip="/dark_souls_3/item12202?wid=762"/>
    <hyperlink ref="A7" r:id="rId9" display="团牌" tooltip="/dark_souls_3/baike3200?wid=762"/>
    <hyperlink ref="AC7" r:id="rId3" display="格挡" tooltip="/dark_souls_3/item12135?wid=762"/>
    <hyperlink ref="A8" r:id="rId10" display="鹿角圆盾" tooltip="/dark_souls_3/baike3201?wid=762"/>
    <hyperlink ref="AC8" r:id="rId3" display="格挡" tooltip="/dark_souls_3/item12135?wid=762"/>
    <hyperlink ref="A9" r:id="rId11" display="战士圆盾" tooltip="/dark_souls_3/baike3202?wid=762"/>
    <hyperlink ref="AC9" r:id="rId12" display="武器战技" tooltip="/dark_souls_3/item12204?wid=762"/>
    <hyperlink ref="A10" r:id="rId13" display="孪生蛇纹圆盾" tooltip="/dark_souls_3/baike3203?wid=762"/>
    <hyperlink ref="AC10" r:id="rId3" display="格挡" tooltip="/dark_souls_3/item12135?wid=762"/>
    <hyperlink ref="A11" r:id="rId14" display="红白圆盾" tooltip="/dark_souls_3/baike3204?wid=762"/>
    <hyperlink ref="AC11" r:id="rId3" display="格挡" tooltip="/dark_souls_3/item12135?wid=762"/>
    <hyperlink ref="A12" r:id="rId15" display="木板盾" tooltip="/dark_souls_3/baike3205?wid=762"/>
    <hyperlink ref="AC12" r:id="rId8" display="盾牌冲击" tooltip="/dark_souls_3/item12202?wid=762"/>
    <hyperlink ref="A13" r:id="rId16" display="皮盾" tooltip="/dark_souls_3/baike3206?wid=762"/>
    <hyperlink ref="AC13" r:id="rId3" display="格挡" tooltip="/dark_souls_3/item12135?wid=762"/>
    <hyperlink ref="A14" r:id="rId17" display="红圆盾" tooltip="/dark_souls_3/baike3207?wid=762"/>
    <hyperlink ref="AC14" r:id="rId3" display="格挡" tooltip="/dark_souls_3/item12135?wid=762"/>
    <hyperlink ref="A15" r:id="rId18" display="东方铁盾" tooltip="/dark_souls_3/baike3208?wid=762"/>
    <hyperlink ref="AC15" r:id="rId12" display="武器战技" tooltip="/dark_souls_3/item12204?wid=762"/>
    <hyperlink ref="A16" r:id="rId19" display="林德盾" tooltip="/dark_souls_3/baike3209?wid=762"/>
    <hyperlink ref="AC16" r:id="rId3" display="格挡" tooltip="/dark_souls_3/item12135?wid=762"/>
    <hyperlink ref="A17" r:id="rId20" display="金鹰小盾" tooltip="/dark_souls_3/baike3210?wid=762"/>
    <hyperlink ref="AC17" r:id="rId3" display="格挡" tooltip="/dark_souls_3/item12135?wid=762"/>
    <hyperlink ref="A18" r:id="rId21" display="圣花盾" tooltip="/dark_souls_3/baike3211?wid=762"/>
    <hyperlink ref="AC18" r:id="rId22" display="法术格挡" tooltip="/dark_souls_3/item12205?wid=762"/>
    <hyperlink ref="A19" r:id="rId23" display="龙头盾" tooltip="/dark_souls_3/baike3281?wid=762"/>
    <hyperlink ref="AC19" r:id="rId24" display="龙的吐息" tooltip="/dark_souls_3/item12235?wid=762"/>
    <hyperlink ref="A20" r:id="rId25" display="圆盾" tooltip="/dark_souls_3/baike3192?wid=763"/>
    <hyperlink ref="AC20" r:id="rId26" display="格挡" tooltip="/dark_souls_3/item12135?wid=763"/>
    <hyperlink ref="A21" r:id="rId27" display="大皮盾" tooltip="/dark_souls_3/baike3193?wid=763"/>
    <hyperlink ref="AC21" r:id="rId26" display="格挡" tooltip="/dark_souls_3/item12135?wid=763"/>
    <hyperlink ref="A22" r:id="rId28" display="木盾" tooltip="/dark_souls_3/baike3196?wid=763"/>
    <hyperlink ref="AC22" r:id="rId26" display="格挡" tooltip="/dark_souls_3/item12135?wid=763"/>
    <hyperlink ref="A23" r:id="rId29" display="鸢形盾" tooltip="/dark_souls_3/baike3197?wid=763"/>
    <hyperlink ref="AC23" r:id="rId26" display="格挡" tooltip="/dark_souls_3/item12135?wid=763"/>
    <hyperlink ref="A24" r:id="rId30" display="洛斯里克骑士盾" tooltip="/dark_souls_3/baike3213?wid=763"/>
    <hyperlink ref="AC24" r:id="rId26" display="格挡" tooltip="/dark_souls_3/item12135?wid=763"/>
    <hyperlink ref="A25" r:id="rId31" display="骑士盾" tooltip="/dark_souls_3/baike3214?wid=763"/>
    <hyperlink ref="AC25" r:id="rId26" display="格挡" tooltip="/dark_souls_3/item12135?wid=763"/>
    <hyperlink ref="A26" r:id="rId32" display="教宗骑士盾" tooltip="/dark_souls_3/baike3215?wid=763"/>
    <hyperlink ref="AC26" r:id="rId33" display="武器战技" tooltip="/dark_souls_3/item12204?wid=763"/>
    <hyperlink ref="A27" r:id="rId34" display="卡萨斯盾" tooltip="/dark_souls_3/baike3216?wid=763"/>
    <hyperlink ref="AC27" r:id="rId26" display="格挡" tooltip="/dark_souls_3/item12135?wid=763"/>
    <hyperlink ref="A28" r:id="rId35" display="黑骑士盾" tooltip="/dark_souls_3/baike3217?wid=763"/>
    <hyperlink ref="AC28" r:id="rId33" display="武器战技" tooltip="/dark_souls_3/item12204?wid=763"/>
    <hyperlink ref="A29" r:id="rId36" display="银骑士盾" tooltip="/dark_souls_3/baike3218?wid=763"/>
    <hyperlink ref="AC29" r:id="rId26" display="格挡" tooltip="/dark_souls_3/item12135?wid=763"/>
    <hyperlink ref="A30" r:id="rId37" display="刺针盾" tooltip="/dark_souls_3/baike3219?wid=763"/>
    <hyperlink ref="AC30" r:id="rId38" display="盾牌攻击" tooltip="/dark_souls_3/item12206?wid=763"/>
    <hyperlink ref="A31" r:id="rId39" display="突刺盾" tooltip="/dark_souls_3/baike3220?wid=763"/>
    <hyperlink ref="AC31" r:id="rId40" display="盾牌冲击" tooltip="/dark_souls_3/item12202?wid=763"/>
    <hyperlink ref="A32" r:id="rId41" display="双鸟纹木盾" tooltip="/dark_souls_3/baike3221?wid=763"/>
    <hyperlink ref="AC32" r:id="rId26" display="格挡" tooltip="/dark_souls_3/item12135?wid=763"/>
    <hyperlink ref="A33" r:id="rId42" display="太阳纹盾" tooltip="/dark_souls_3/baike3222?wid=763"/>
    <hyperlink ref="AC33" r:id="rId26" display="格挡" tooltip="/dark_souls_3/item12135?wid=763"/>
    <hyperlink ref="A34" r:id="rId43" display="图纹盾" tooltip="/dark_souls_3/baike3223?wid=763"/>
    <hyperlink ref="AC34" r:id="rId26" display="格挡" tooltip="/dark_souls_3/item12135?wid=763"/>
    <hyperlink ref="A35" r:id="rId44" display="龙图纹盾" tooltip="/dark_souls_3/baike3224?wid=763"/>
    <hyperlink ref="AC35" r:id="rId26" display="格挡" tooltip="/dark_souls_3/item12135?wid=763"/>
    <hyperlink ref="A36" r:id="rId45" display="蜘蛛纹盾" tooltip="/dark_souls_3/baike3225?wid=763"/>
    <hyperlink ref="AC36" r:id="rId33" display="武器战技" tooltip="/dark_souls_3/item12204?wid=763"/>
    <hyperlink ref="A37" r:id="rId46" display="草纹盾" tooltip="/dark_souls_3/baike3226?wid=763"/>
    <hyperlink ref="AC37" r:id="rId26" display="格挡" tooltip="/dark_souls_3/item12135?wid=763"/>
    <hyperlink ref="A38" r:id="rId47" display="黄昏盾" tooltip="/dark_souls_3/baike3227?wid=763"/>
    <hyperlink ref="AC38" r:id="rId26" display="格挡" tooltip="/dark_souls_3/item12135?wid=763"/>
    <hyperlink ref="A39" r:id="rId48" display="金翼图纹盾" tooltip="/dark_souls_3/baike3228?wid=763"/>
    <hyperlink ref="AC39" r:id="rId49" display="法术格挡" tooltip="/dark_souls_3/item12205?wid=763"/>
    <hyperlink ref="A40" r:id="rId50" display="蓝木盾" tooltip="/dark_souls_3/baike3229?wid=763"/>
    <hyperlink ref="AC40" r:id="rId26" display="格挡" tooltip="/dark_souls_3/item12135?wid=763"/>
    <hyperlink ref="A41" r:id="rId51" display="银鹫鸢形盾" tooltip="/dark_souls_3/baike3230?wid=763"/>
    <hyperlink ref="AC41" r:id="rId33" display="武器战技" tooltip="/dark_souls_3/item12204?wid=763"/>
    <hyperlink ref="A42" r:id="rId52" display="石像圆盾" tooltip="/dark_souls_3/baike3231?wid=763"/>
    <hyperlink ref="AC42" r:id="rId33" display="武器战技" tooltip="/dark_souls_3/item12204?wid=763"/>
    <hyperlink ref="A43" r:id="rId53" display="神木图纹盾" tooltip="/dark_souls_3/baike3232?wid=763"/>
    <hyperlink ref="AC43" r:id="rId26" display="格挡" tooltip="/dark_souls_3/item12135?wid=763"/>
    <hyperlink ref="A44" r:id="rId54" display="隶兽盾" tooltip="/dark_souls_3/baike3233?wid=763"/>
    <hyperlink ref="AC44" r:id="rId40" display="盾牌冲击" tooltip="/dark_souls_3/item12202?wid=763"/>
    <hyperlink ref="A45" r:id="rId55" display="渴望盾" tooltip="/dark_souls_3/baike3234?wid=763"/>
    <hyperlink ref="AC45" r:id="rId33" display="武器战技" tooltip="/dark_souls_3/item12204?wid=763"/>
    <hyperlink ref="A46" r:id="rId56" display="战神木盾" tooltip="/dark_souls_3/baike3235?wid=763"/>
    <hyperlink ref="AC46" r:id="rId33" display="武器战技" tooltip="/dark_souls_3/item12204?wid=763"/>
    <hyperlink ref="A47" r:id="rId57" display="幽魂盾" tooltip="/dark_souls_3/baike3261?wid=763"/>
    <hyperlink ref="AC47" r:id="rId33" display="武器战技" tooltip="/dark_souls_3/item12204?wid=763"/>
    <hyperlink ref="A48" r:id="rId58" display="灵树盾" tooltip="/dark_souls_3/baike3262?wid=763"/>
    <hyperlink ref="AC48" r:id="rId33" display="武器战技" tooltip="/dark_souls_3/item12204?wid=763"/>
    <hyperlink ref="A49" r:id="rId59" display="哈维尔大盾" tooltip="/dark_souls_3/baike3199?wid=764"/>
    <hyperlink ref="AC49" r:id="rId60" display="岩石身躯" tooltip="/dark_souls_3/item12203?wid=764"/>
    <hyperlink ref="A50" r:id="rId61" display="古龙绘大盾" tooltip="/dark_souls_3/baike3212?wid=764"/>
    <hyperlink ref="AC50" r:id="rId62" display="武器战技" tooltip="/dark_souls_3/item12204?wid=764"/>
    <hyperlink ref="A51" r:id="rId63" display="洛斯里克骑士大盾" tooltip="/dark_souls_3/baike3236?wid=764"/>
    <hyperlink ref="AC51" r:id="rId64" display="盾牌冲击" tooltip="/dark_souls_3/item12202?wid=764"/>
    <hyperlink ref="A52" r:id="rId65" display="教堂骑士大盾" tooltip="/dark_souls_3/baike3237?wid=764"/>
    <hyperlink ref="AC52" r:id="rId64" display="盾牌冲击" tooltip="/dark_souls_3/item12202?wid=764"/>
    <hyperlink ref="A53" r:id="rId66" display="猎龙大盾" tooltip="/dark_souls_3/baike3238?wid=764"/>
    <hyperlink ref="AC53" r:id="rId64" display="盾牌冲击" tooltip="/dark_souls_3/item12202?wid=764"/>
    <hyperlink ref="A54" r:id="rId67" display="呻吟盾" tooltip="/dark_souls_3/baike3239?wid=764"/>
    <hyperlink ref="AC54" r:id="rId68" display="呻吟" tooltip="/dark_souls_3/item12207?wid=764"/>
    <hyperlink ref="A55" r:id="rId69" display="尤姆大盾" tooltip="/dark_souls_3/baike3240?wid=764"/>
    <hyperlink ref="AC55" r:id="rId64" display="盾牌冲击" tooltip="/dark_souls_3/item12202?wid=764"/>
    <hyperlink ref="A56" r:id="rId70" display="黑铁大盾" tooltip="/dark_souls_3/baike3241?wid=764"/>
    <hyperlink ref="AC56" r:id="rId64" display="盾牌冲击" tooltip="/dark_souls_3/item12202?wid=764"/>
    <hyperlink ref="A57" r:id="rId71" display="狼骑士大盾" tooltip="/dark_souls_3/baike3242?wid=764"/>
    <hyperlink ref="AC57" r:id="rId62" display="武器战技" tooltip="/dark_souls_3/item12204?wid=764"/>
    <hyperlink ref="A58" r:id="rId72" display="双龙大盾" tooltip="/dark_souls_3/baike3243?wid=764"/>
    <hyperlink ref="AC58" r:id="rId64" display="盾牌冲击" tooltip="/dark_souls_3/item12202?wid=764"/>
    <hyperlink ref="A59" r:id="rId73" display="荣誉大盾" tooltip="/dark_souls_3/baike3244?wid=764"/>
    <hyperlink ref="AC59" r:id="rId64" display="盾牌冲击" tooltip="/dark_souls_3/item12202?wid=764"/>
    <hyperlink ref="A60" r:id="rId74" display="抗咒大盾" tooltip="/dark_souls_3/baike3245?wid=764"/>
    <hyperlink ref="AC60" r:id="rId62" display="武器战技" tooltip="/dark_souls_3/item12204?wid=764"/>
    <hyperlink ref="A61" r:id="rId75" display="骸骨车轮盾" tooltip="/dark_souls_3/baike3246?wid=764"/>
    <hyperlink ref="AC61" r:id="rId76" display="命运之轮" tooltip="/dark_souls_3/item12208?wid=764"/>
    <hyperlink ref="A62" r:id="rId77" display="石制大盾" tooltip="/dark_souls_3/baike3247?wid=764"/>
    <hyperlink ref="AC62" r:id="rId64" display="盾牌冲击" tooltip="/dark_souls_3/item12202?wid=764"/>
    <hyperlink ref="A63" r:id="rId78" display="大门盾" tooltip="/dark_souls_3/baike3279?wid=764"/>
    <hyperlink ref="AC63" r:id="rId79" display="紧闭" tooltip="/dark_souls_3/item12234?wid=764"/>
    <hyperlink ref="A64" r:id="rId80" display="龙头大盾" tooltip="/dark_souls_3/baike3282?wid=764"/>
    <hyperlink ref="AC64" r:id="rId81" display="龙吼" tooltip="/dark_souls_3/item12236?wid=764"/>
  </hyperlink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364"/>
  <sheetViews>
    <sheetView workbookViewId="0">
      <pane xSplit="1" ySplit="1" topLeftCell="B355" activePane="bottomRight" state="frozen"/>
      <selection/>
      <selection pane="topRight"/>
      <selection pane="bottomLeft"/>
      <selection pane="bottomRight" activeCell="A360" sqref="A360"/>
    </sheetView>
  </sheetViews>
  <sheetFormatPr defaultColWidth="9" defaultRowHeight="75" customHeight="1"/>
  <cols>
    <col min="1" max="2" width="14.5" style="7"/>
    <col min="3" max="17" width="7.625" style="7" customWidth="1"/>
    <col min="29" max="16384" width="9" style="7"/>
  </cols>
  <sheetData>
    <row r="1" s="2" customFormat="1" customHeight="1" spans="1:28">
      <c r="A1" s="2" t="s">
        <v>0</v>
      </c>
      <c r="B1" s="2" t="s">
        <v>1</v>
      </c>
      <c r="C1" s="2" t="s">
        <v>11</v>
      </c>
      <c r="D1" s="2" t="s">
        <v>607</v>
      </c>
      <c r="E1" s="2" t="s">
        <v>608</v>
      </c>
      <c r="F1" s="2" t="s">
        <v>609</v>
      </c>
      <c r="G1" s="2" t="s">
        <v>12</v>
      </c>
      <c r="H1" s="2" t="s">
        <v>13</v>
      </c>
      <c r="I1" s="2" t="s">
        <v>14</v>
      </c>
      <c r="J1" s="2" t="s">
        <v>15</v>
      </c>
      <c r="K1" s="2" t="s">
        <v>610</v>
      </c>
      <c r="L1" s="2" t="s">
        <v>611</v>
      </c>
      <c r="M1" s="2" t="s">
        <v>612</v>
      </c>
      <c r="N1" s="2" t="s">
        <v>613</v>
      </c>
      <c r="O1" s="2" t="s">
        <v>614</v>
      </c>
      <c r="P1" s="2" t="s">
        <v>30</v>
      </c>
      <c r="Q1" s="2" t="s">
        <v>31</v>
      </c>
      <c r="R1"/>
      <c r="S1"/>
      <c r="T1"/>
      <c r="U1"/>
      <c r="V1"/>
      <c r="W1"/>
      <c r="X1"/>
      <c r="Y1"/>
      <c r="Z1"/>
      <c r="AA1"/>
      <c r="AB1"/>
    </row>
    <row r="2" s="7" customFormat="1" customHeight="1" spans="1:28">
      <c r="A2" s="8" t="s">
        <v>615</v>
      </c>
      <c r="B2" s="8" t="str">
        <f>_xlfn.DISPIMG("ID_DCC4CEF4D65C43E7B9A713321EC9A5D7",1)</f>
        <v>=DISPIMG("ID_DCC4CEF4D65C43E7B9A713321EC9A5D7",1)</v>
      </c>
      <c r="C2" s="9">
        <v>1.9</v>
      </c>
      <c r="D2" s="9">
        <v>1.1</v>
      </c>
      <c r="E2" s="9">
        <v>1.1</v>
      </c>
      <c r="F2" s="9">
        <v>1.4</v>
      </c>
      <c r="G2" s="9">
        <v>4.9</v>
      </c>
      <c r="H2" s="9">
        <v>4.8</v>
      </c>
      <c r="I2" s="9">
        <v>4.8</v>
      </c>
      <c r="J2" s="9">
        <v>5</v>
      </c>
      <c r="K2" s="9">
        <v>6</v>
      </c>
      <c r="L2" s="9">
        <v>17</v>
      </c>
      <c r="M2" s="9">
        <v>12</v>
      </c>
      <c r="N2" s="9">
        <v>30</v>
      </c>
      <c r="O2" s="9">
        <v>0.2</v>
      </c>
      <c r="P2" s="9">
        <v>1.8</v>
      </c>
      <c r="Q2" s="9">
        <v>230</v>
      </c>
      <c r="R2"/>
      <c r="S2"/>
      <c r="T2"/>
      <c r="U2"/>
      <c r="V2"/>
      <c r="W2"/>
      <c r="X2"/>
      <c r="Y2"/>
      <c r="Z2"/>
      <c r="AA2"/>
      <c r="AB2"/>
    </row>
    <row r="3" s="7" customFormat="1" customHeight="1" spans="1:28">
      <c r="A3" s="8" t="s">
        <v>616</v>
      </c>
      <c r="B3" s="8" t="str">
        <f>_xlfn.DISPIMG("ID_B64167F386CA4047B25435DDE34EC976",1)</f>
        <v>=DISPIMG("ID_B64167F386CA4047B25435DDE34EC976",1)</v>
      </c>
      <c r="C3" s="9">
        <v>0.8</v>
      </c>
      <c r="D3" s="9">
        <v>0.9</v>
      </c>
      <c r="E3" s="9">
        <v>0.8</v>
      </c>
      <c r="F3" s="9">
        <v>0.8</v>
      </c>
      <c r="G3" s="9">
        <v>4.7</v>
      </c>
      <c r="H3" s="9">
        <v>4.5</v>
      </c>
      <c r="I3" s="9">
        <v>4.6</v>
      </c>
      <c r="J3" s="9">
        <v>4.9</v>
      </c>
      <c r="K3" s="9">
        <v>4</v>
      </c>
      <c r="L3" s="9">
        <v>14</v>
      </c>
      <c r="M3" s="9">
        <v>8</v>
      </c>
      <c r="N3" s="9">
        <v>44</v>
      </c>
      <c r="O3" s="9">
        <v>0</v>
      </c>
      <c r="P3" s="9">
        <v>1.4</v>
      </c>
      <c r="Q3" s="9">
        <v>210</v>
      </c>
      <c r="R3"/>
      <c r="S3"/>
      <c r="T3"/>
      <c r="U3"/>
      <c r="V3"/>
      <c r="W3"/>
      <c r="X3"/>
      <c r="Y3"/>
      <c r="Z3"/>
      <c r="AA3"/>
      <c r="AB3"/>
    </row>
    <row r="4" s="7" customFormat="1" customHeight="1" spans="1:28">
      <c r="A4" s="10" t="s">
        <v>617</v>
      </c>
      <c r="B4" s="10" t="str">
        <f>_xlfn.DISPIMG("ID_691D9477D2DA44D6BB8F07AA156BED5C",1)</f>
        <v>=DISPIMG("ID_691D9477D2DA44D6BB8F07AA156BED5C",1)</v>
      </c>
      <c r="C4" s="11">
        <v>3.7</v>
      </c>
      <c r="D4" s="11">
        <v>4.2</v>
      </c>
      <c r="E4" s="11">
        <v>4.2</v>
      </c>
      <c r="F4" s="11">
        <v>2.7</v>
      </c>
      <c r="G4" s="11">
        <v>13.8</v>
      </c>
      <c r="H4" s="11">
        <v>13.5</v>
      </c>
      <c r="I4" s="11">
        <v>13.5</v>
      </c>
      <c r="J4" s="11">
        <v>14.1</v>
      </c>
      <c r="K4" s="11">
        <v>15</v>
      </c>
      <c r="L4" s="11">
        <v>39</v>
      </c>
      <c r="M4" s="11">
        <v>28</v>
      </c>
      <c r="N4" s="11">
        <v>69</v>
      </c>
      <c r="O4" s="11">
        <v>0.5</v>
      </c>
      <c r="P4" s="11">
        <v>3.6</v>
      </c>
      <c r="Q4" s="11">
        <v>220</v>
      </c>
      <c r="R4"/>
      <c r="S4"/>
      <c r="T4"/>
      <c r="U4"/>
      <c r="V4"/>
      <c r="W4"/>
      <c r="X4"/>
      <c r="Y4"/>
      <c r="Z4"/>
      <c r="AA4"/>
      <c r="AB4"/>
    </row>
    <row r="5" s="7" customFormat="1" customHeight="1" spans="1:28">
      <c r="A5" s="12" t="s">
        <v>618</v>
      </c>
      <c r="B5" s="12" t="str">
        <f>_xlfn.DISPIMG("ID_29E5B12799EF407BB6E82B9AE6973FB9",1)</f>
        <v>=DISPIMG("ID_29E5B12799EF407BB6E82B9AE6973FB9",1)</v>
      </c>
      <c r="C5" s="13">
        <v>0.5</v>
      </c>
      <c r="D5" s="13">
        <v>1.2</v>
      </c>
      <c r="E5" s="13">
        <v>1.2</v>
      </c>
      <c r="F5" s="13">
        <v>0.7</v>
      </c>
      <c r="G5" s="13">
        <v>3.4</v>
      </c>
      <c r="H5" s="13">
        <v>3.3</v>
      </c>
      <c r="I5" s="13">
        <v>3.3</v>
      </c>
      <c r="J5" s="13">
        <v>3.5</v>
      </c>
      <c r="K5" s="13">
        <v>5</v>
      </c>
      <c r="L5" s="13">
        <v>13</v>
      </c>
      <c r="M5" s="13">
        <v>9</v>
      </c>
      <c r="N5" s="13">
        <v>23</v>
      </c>
      <c r="O5" s="13">
        <v>0.1</v>
      </c>
      <c r="P5" s="13">
        <v>1.2</v>
      </c>
      <c r="Q5" s="13">
        <v>220</v>
      </c>
      <c r="R5"/>
      <c r="S5"/>
      <c r="T5"/>
      <c r="U5"/>
      <c r="V5"/>
      <c r="W5"/>
      <c r="X5"/>
      <c r="Y5"/>
      <c r="Z5"/>
      <c r="AA5"/>
      <c r="AB5"/>
    </row>
    <row r="6" s="7" customFormat="1" customHeight="1" spans="1:28">
      <c r="A6" s="14" t="s">
        <v>619</v>
      </c>
      <c r="B6" s="14" t="str">
        <f>_xlfn.DISPIMG("ID_F7C679EB9F534A64869EFA0395152698",1)</f>
        <v>=DISPIMG("ID_F7C679EB9F534A64869EFA0395152698",1)</v>
      </c>
      <c r="C6" s="15">
        <v>2.9</v>
      </c>
      <c r="D6" s="15">
        <v>2.4</v>
      </c>
      <c r="E6" s="15">
        <v>2.4</v>
      </c>
      <c r="F6" s="15">
        <v>2.1</v>
      </c>
      <c r="G6" s="15">
        <v>8.1</v>
      </c>
      <c r="H6" s="15">
        <v>7.9</v>
      </c>
      <c r="I6" s="15">
        <v>7.9</v>
      </c>
      <c r="J6" s="15">
        <v>8.3</v>
      </c>
      <c r="K6" s="15">
        <v>11</v>
      </c>
      <c r="L6" s="15">
        <v>25</v>
      </c>
      <c r="M6" s="15">
        <v>19</v>
      </c>
      <c r="N6" s="15">
        <v>45</v>
      </c>
      <c r="O6" s="15">
        <v>0.5</v>
      </c>
      <c r="P6" s="15">
        <v>2.6</v>
      </c>
      <c r="Q6" s="15">
        <v>230</v>
      </c>
      <c r="R6"/>
      <c r="S6"/>
      <c r="T6"/>
      <c r="U6"/>
      <c r="V6"/>
      <c r="W6"/>
      <c r="X6"/>
      <c r="Y6"/>
      <c r="Z6"/>
      <c r="AA6"/>
      <c r="AB6"/>
    </row>
    <row r="7" s="7" customFormat="1" customHeight="1" spans="1:28">
      <c r="A7" s="8" t="s">
        <v>620</v>
      </c>
      <c r="B7" s="8" t="str">
        <f>_xlfn.DISPIMG("ID_1CD1D62D933845BFBB8918537702D787",1)</f>
        <v>=DISPIMG("ID_1CD1D62D933845BFBB8918537702D787",1)</v>
      </c>
      <c r="C7" s="9">
        <v>1.1</v>
      </c>
      <c r="D7" s="9">
        <v>1.1</v>
      </c>
      <c r="E7" s="9">
        <v>1.1</v>
      </c>
      <c r="F7" s="9">
        <v>1.1</v>
      </c>
      <c r="G7" s="9">
        <v>3.8</v>
      </c>
      <c r="H7" s="9">
        <v>3.2</v>
      </c>
      <c r="I7" s="9">
        <v>3.5</v>
      </c>
      <c r="J7" s="9">
        <v>3.8</v>
      </c>
      <c r="K7" s="9">
        <v>13</v>
      </c>
      <c r="L7" s="9">
        <v>25</v>
      </c>
      <c r="M7" s="9">
        <v>7</v>
      </c>
      <c r="N7" s="9">
        <v>29</v>
      </c>
      <c r="O7" s="9">
        <v>0.4</v>
      </c>
      <c r="P7" s="9">
        <v>0.7</v>
      </c>
      <c r="Q7" s="9">
        <v>100</v>
      </c>
      <c r="R7"/>
      <c r="S7"/>
      <c r="T7"/>
      <c r="U7"/>
      <c r="V7"/>
      <c r="W7"/>
      <c r="X7"/>
      <c r="Y7"/>
      <c r="Z7"/>
      <c r="AA7"/>
      <c r="AB7"/>
    </row>
    <row r="8" s="7" customFormat="1" customHeight="1" spans="1:28">
      <c r="A8" s="10" t="s">
        <v>621</v>
      </c>
      <c r="B8" s="10" t="str">
        <f>_xlfn.DISPIMG("ID_FFBD057909AC483BB433D0BDA6129FC7",1)</f>
        <v>=DISPIMG("ID_FFBD057909AC483BB433D0BDA6129FC7",1)</v>
      </c>
      <c r="C8" s="11">
        <v>2.7</v>
      </c>
      <c r="D8" s="11">
        <v>2.7</v>
      </c>
      <c r="E8" s="11">
        <v>2.7</v>
      </c>
      <c r="F8" s="11">
        <v>2.1</v>
      </c>
      <c r="G8" s="11">
        <v>9.1</v>
      </c>
      <c r="H8" s="11">
        <v>7.6</v>
      </c>
      <c r="I8" s="11">
        <v>8.4</v>
      </c>
      <c r="J8" s="11">
        <v>9.1</v>
      </c>
      <c r="K8" s="11">
        <v>37</v>
      </c>
      <c r="L8" s="11">
        <v>62</v>
      </c>
      <c r="M8" s="11">
        <v>22</v>
      </c>
      <c r="N8" s="11">
        <v>74</v>
      </c>
      <c r="O8" s="11">
        <v>0</v>
      </c>
      <c r="P8" s="11">
        <v>2</v>
      </c>
      <c r="Q8" s="11">
        <v>100</v>
      </c>
      <c r="R8"/>
      <c r="S8"/>
      <c r="T8"/>
      <c r="U8"/>
      <c r="V8"/>
      <c r="W8"/>
      <c r="X8"/>
      <c r="Y8"/>
      <c r="Z8"/>
      <c r="AA8"/>
      <c r="AB8"/>
    </row>
    <row r="9" s="7" customFormat="1" customHeight="1" spans="1:28">
      <c r="A9" s="12" t="s">
        <v>622</v>
      </c>
      <c r="B9" s="12" t="str">
        <f>_xlfn.DISPIMG("ID_0F26D5FF0DBC41D5B63FA35CE476AEF9",1)</f>
        <v>=DISPIMG("ID_0F26D5FF0DBC41D5B63FA35CE476AEF9",1)</v>
      </c>
      <c r="C9" s="13">
        <v>0.4</v>
      </c>
      <c r="D9" s="13">
        <v>0.4</v>
      </c>
      <c r="E9" s="13">
        <v>0.4</v>
      </c>
      <c r="F9" s="13">
        <v>0.3</v>
      </c>
      <c r="G9" s="13">
        <v>1.9</v>
      </c>
      <c r="H9" s="13">
        <v>1.5</v>
      </c>
      <c r="I9" s="13">
        <v>1.7</v>
      </c>
      <c r="J9" s="13">
        <v>1.9</v>
      </c>
      <c r="K9" s="13">
        <v>14</v>
      </c>
      <c r="L9" s="13">
        <v>22</v>
      </c>
      <c r="M9" s="13">
        <v>9</v>
      </c>
      <c r="N9" s="13">
        <v>26</v>
      </c>
      <c r="O9" s="13">
        <v>0</v>
      </c>
      <c r="P9" s="13">
        <v>0.3</v>
      </c>
      <c r="Q9" s="13">
        <v>100</v>
      </c>
      <c r="R9"/>
      <c r="S9"/>
      <c r="T9"/>
      <c r="U9"/>
      <c r="V9"/>
      <c r="W9"/>
      <c r="X9"/>
      <c r="Y9"/>
      <c r="Z9"/>
      <c r="AA9"/>
      <c r="AB9"/>
    </row>
    <row r="10" s="7" customFormat="1" customHeight="1" spans="1:28">
      <c r="A10" s="14" t="s">
        <v>623</v>
      </c>
      <c r="B10" s="14" t="str">
        <f>_xlfn.DISPIMG("ID_542EF28193344C31BA39BE1C9750E2FC",1)</f>
        <v>=DISPIMG("ID_542EF28193344C31BA39BE1C9750E2FC",1)</v>
      </c>
      <c r="C10" s="15">
        <v>1.9</v>
      </c>
      <c r="D10" s="15">
        <v>1.9</v>
      </c>
      <c r="E10" s="15">
        <v>1.9</v>
      </c>
      <c r="F10" s="15">
        <v>1.6</v>
      </c>
      <c r="G10" s="15">
        <v>5.8</v>
      </c>
      <c r="H10" s="15">
        <v>4.9</v>
      </c>
      <c r="I10" s="15">
        <v>5.4</v>
      </c>
      <c r="J10" s="15">
        <v>5.8</v>
      </c>
      <c r="K10" s="15">
        <v>20</v>
      </c>
      <c r="L10" s="15">
        <v>35</v>
      </c>
      <c r="M10" s="15">
        <v>10</v>
      </c>
      <c r="N10" s="15">
        <v>43</v>
      </c>
      <c r="O10" s="15">
        <v>0.4</v>
      </c>
      <c r="P10" s="15">
        <v>1.1</v>
      </c>
      <c r="Q10" s="15">
        <v>100</v>
      </c>
      <c r="R10"/>
      <c r="S10"/>
      <c r="T10"/>
      <c r="U10"/>
      <c r="V10"/>
      <c r="W10"/>
      <c r="X10"/>
      <c r="Y10"/>
      <c r="Z10"/>
      <c r="AA10"/>
      <c r="AB10"/>
    </row>
    <row r="11" s="7" customFormat="1" customHeight="1" spans="1:28">
      <c r="A11" s="8" t="s">
        <v>624</v>
      </c>
      <c r="B11" s="8" t="str">
        <f>_xlfn.DISPIMG("ID_673F3B3C37094AAE96D03B312A171CC2",1)</f>
        <v>=DISPIMG("ID_673F3B3C37094AAE96D03B312A171CC2",1)</v>
      </c>
      <c r="C11" s="16">
        <v>0.8</v>
      </c>
      <c r="D11" s="16">
        <v>0</v>
      </c>
      <c r="E11" s="16">
        <v>0.2</v>
      </c>
      <c r="F11" s="16">
        <v>0</v>
      </c>
      <c r="G11" s="16">
        <v>-30</v>
      </c>
      <c r="H11" s="16">
        <v>4</v>
      </c>
      <c r="I11" s="16">
        <v>3</v>
      </c>
      <c r="J11" s="16">
        <v>3.2</v>
      </c>
      <c r="K11" s="16">
        <v>5</v>
      </c>
      <c r="L11" s="16">
        <v>12</v>
      </c>
      <c r="M11" s="16">
        <v>8</v>
      </c>
      <c r="N11" s="16">
        <v>33</v>
      </c>
      <c r="O11" s="16">
        <v>0</v>
      </c>
      <c r="P11" s="16">
        <v>1</v>
      </c>
      <c r="Q11" s="16">
        <v>200</v>
      </c>
      <c r="R11"/>
      <c r="S11"/>
      <c r="T11"/>
      <c r="U11"/>
      <c r="V11"/>
      <c r="W11"/>
      <c r="X11"/>
      <c r="Y11"/>
      <c r="Z11"/>
      <c r="AA11"/>
      <c r="AB11"/>
    </row>
    <row r="12" s="7" customFormat="1" customHeight="1" spans="1:28">
      <c r="A12" s="10" t="s">
        <v>625</v>
      </c>
      <c r="B12" s="10" t="str">
        <f>_xlfn.DISPIMG("ID_74A676C1A32246EEA6E02F74FCA02CEC",1)</f>
        <v>=DISPIMG("ID_74A676C1A32246EEA6E02F74FCA02CEC",1)</v>
      </c>
      <c r="C12" s="11">
        <v>3.2</v>
      </c>
      <c r="D12" s="11">
        <v>3.6</v>
      </c>
      <c r="E12" s="11">
        <v>3.2</v>
      </c>
      <c r="F12" s="11">
        <v>3.2</v>
      </c>
      <c r="G12" s="11">
        <v>12.3</v>
      </c>
      <c r="H12" s="11">
        <v>13.9</v>
      </c>
      <c r="I12" s="11">
        <v>11.8</v>
      </c>
      <c r="J12" s="11">
        <v>13.2</v>
      </c>
      <c r="K12" s="11">
        <v>21</v>
      </c>
      <c r="L12" s="11">
        <v>38</v>
      </c>
      <c r="M12" s="11">
        <v>27</v>
      </c>
      <c r="N12" s="11">
        <v>86</v>
      </c>
      <c r="O12" s="11">
        <v>1.2</v>
      </c>
      <c r="P12" s="11">
        <v>3.1</v>
      </c>
      <c r="Q12" s="11">
        <v>210</v>
      </c>
      <c r="R12"/>
      <c r="S12"/>
      <c r="T12"/>
      <c r="U12"/>
      <c r="V12"/>
      <c r="W12"/>
      <c r="X12"/>
      <c r="Y12"/>
      <c r="Z12"/>
      <c r="AA12"/>
      <c r="AB12"/>
    </row>
    <row r="13" s="7" customFormat="1" customHeight="1" spans="1:28">
      <c r="A13" s="12" t="s">
        <v>626</v>
      </c>
      <c r="B13" s="12" t="str">
        <f>_xlfn.DISPIMG("ID_7061D05ADE614165968A65C0088457E8",1)</f>
        <v>=DISPIMG("ID_7061D05ADE614165968A65C0088457E8",1)</v>
      </c>
      <c r="C13" s="13">
        <v>0.9</v>
      </c>
      <c r="D13" s="13">
        <v>1</v>
      </c>
      <c r="E13" s="13">
        <v>0.9</v>
      </c>
      <c r="F13" s="13">
        <v>0.9</v>
      </c>
      <c r="G13" s="13">
        <v>3.3</v>
      </c>
      <c r="H13" s="13">
        <v>3.7</v>
      </c>
      <c r="I13" s="13">
        <v>3.2</v>
      </c>
      <c r="J13" s="13">
        <v>3.6</v>
      </c>
      <c r="K13" s="13">
        <v>8</v>
      </c>
      <c r="L13" s="13">
        <v>13</v>
      </c>
      <c r="M13" s="13">
        <v>10</v>
      </c>
      <c r="N13" s="13">
        <v>29</v>
      </c>
      <c r="O13" s="13">
        <v>0.6</v>
      </c>
      <c r="P13" s="13">
        <v>1.1</v>
      </c>
      <c r="Q13" s="13">
        <v>210</v>
      </c>
      <c r="R13"/>
      <c r="S13"/>
      <c r="T13"/>
      <c r="U13"/>
      <c r="V13"/>
      <c r="W13"/>
      <c r="X13"/>
      <c r="Y13"/>
      <c r="Z13"/>
      <c r="AA13"/>
      <c r="AB13"/>
    </row>
    <row r="14" s="7" customFormat="1" customHeight="1" spans="1:28">
      <c r="A14" s="14" t="s">
        <v>627</v>
      </c>
      <c r="B14" s="14" t="str">
        <f>_xlfn.DISPIMG("ID_CFE4096DF7FB41B3B2FA266EB6BE5BF5",1)</f>
        <v>=DISPIMG("ID_CFE4096DF7FB41B3B2FA266EB6BE5BF5",1)</v>
      </c>
      <c r="C14" s="15">
        <v>1.6</v>
      </c>
      <c r="D14" s="15">
        <v>1.9</v>
      </c>
      <c r="E14" s="15">
        <v>1.6</v>
      </c>
      <c r="F14" s="15">
        <v>1.4</v>
      </c>
      <c r="G14" s="15">
        <v>6.7</v>
      </c>
      <c r="H14" s="15">
        <v>7.5</v>
      </c>
      <c r="I14" s="15">
        <v>6.4</v>
      </c>
      <c r="J14" s="15">
        <v>7</v>
      </c>
      <c r="K14" s="15">
        <v>13</v>
      </c>
      <c r="L14" s="15">
        <v>23</v>
      </c>
      <c r="M14" s="15">
        <v>16</v>
      </c>
      <c r="N14" s="15">
        <v>54</v>
      </c>
      <c r="O14" s="15">
        <v>0.4</v>
      </c>
      <c r="P14" s="15">
        <v>2.1</v>
      </c>
      <c r="Q14" s="15">
        <v>220</v>
      </c>
      <c r="R14"/>
      <c r="S14"/>
      <c r="T14"/>
      <c r="U14"/>
      <c r="V14"/>
      <c r="W14"/>
      <c r="X14"/>
      <c r="Y14"/>
      <c r="Z14"/>
      <c r="AA14"/>
      <c r="AB14"/>
    </row>
    <row r="15" s="7" customFormat="1" customHeight="1" spans="1:28">
      <c r="A15" s="8" t="s">
        <v>628</v>
      </c>
      <c r="B15" s="8" t="str">
        <f>_xlfn.DISPIMG("ID_B811DB2A15F744D5BB7F78ED331971D6",1)</f>
        <v>=DISPIMG("ID_B811DB2A15F744D5BB7F78ED331971D6",1)</v>
      </c>
      <c r="C15" s="9">
        <v>1.9</v>
      </c>
      <c r="D15" s="9">
        <v>0.8</v>
      </c>
      <c r="E15" s="9">
        <v>1.2</v>
      </c>
      <c r="F15" s="9">
        <v>1.2</v>
      </c>
      <c r="G15" s="9">
        <v>3.6</v>
      </c>
      <c r="H15" s="9">
        <v>4.5</v>
      </c>
      <c r="I15" s="9">
        <v>4.2</v>
      </c>
      <c r="J15" s="9">
        <v>4.7</v>
      </c>
      <c r="K15" s="9">
        <v>10</v>
      </c>
      <c r="L15" s="9">
        <v>30</v>
      </c>
      <c r="M15" s="9">
        <v>13</v>
      </c>
      <c r="N15" s="9">
        <v>31</v>
      </c>
      <c r="O15" s="9">
        <v>0.3</v>
      </c>
      <c r="P15" s="9">
        <v>1.2</v>
      </c>
      <c r="Q15" s="9">
        <v>210</v>
      </c>
      <c r="R15"/>
      <c r="S15"/>
      <c r="T15"/>
      <c r="U15"/>
      <c r="V15"/>
      <c r="W15"/>
      <c r="X15"/>
      <c r="Y15"/>
      <c r="Z15"/>
      <c r="AA15"/>
      <c r="AB15"/>
    </row>
    <row r="16" s="7" customFormat="1" customHeight="1" spans="1:28">
      <c r="A16" s="10" t="s">
        <v>629</v>
      </c>
      <c r="B16" s="10" t="str">
        <f>_xlfn.DISPIMG("ID_51C8A24DB2B34EA29854701E96A6BD37",1)</f>
        <v>=DISPIMG("ID_51C8A24DB2B34EA29854701E96A6BD37",1)</v>
      </c>
      <c r="C16" s="11">
        <v>3.7</v>
      </c>
      <c r="D16" s="11">
        <v>2.9</v>
      </c>
      <c r="E16" s="11">
        <v>23.4</v>
      </c>
      <c r="F16" s="11">
        <v>2.4</v>
      </c>
      <c r="G16" s="11">
        <v>10.5</v>
      </c>
      <c r="H16" s="11">
        <v>11.1</v>
      </c>
      <c r="I16" s="11">
        <v>12.7</v>
      </c>
      <c r="J16" s="11">
        <v>11.7</v>
      </c>
      <c r="K16" s="11">
        <v>16</v>
      </c>
      <c r="L16" s="11">
        <v>64</v>
      </c>
      <c r="M16" s="11">
        <v>25</v>
      </c>
      <c r="N16" s="11">
        <v>66</v>
      </c>
      <c r="O16" s="11">
        <v>0.9</v>
      </c>
      <c r="P16" s="11">
        <v>2.3</v>
      </c>
      <c r="Q16" s="11">
        <v>200</v>
      </c>
      <c r="R16"/>
      <c r="S16"/>
      <c r="T16"/>
      <c r="U16"/>
      <c r="V16"/>
      <c r="W16"/>
      <c r="X16"/>
      <c r="Y16"/>
      <c r="Z16"/>
      <c r="AA16"/>
      <c r="AB16"/>
    </row>
    <row r="17" s="7" customFormat="1" customHeight="1" spans="1:28">
      <c r="A17" s="12" t="s">
        <v>630</v>
      </c>
      <c r="B17" s="12" t="str">
        <f>_xlfn.DISPIMG("ID_1C71F0FA4D434FB2AE73E51512BE0155",1)</f>
        <v>=DISPIMG("ID_1C71F0FA4D434FB2AE73E51512BE0155",1)</v>
      </c>
      <c r="C17" s="13">
        <v>1.1</v>
      </c>
      <c r="D17" s="13">
        <v>1</v>
      </c>
      <c r="E17" s="13">
        <v>1</v>
      </c>
      <c r="F17" s="13">
        <v>0.9</v>
      </c>
      <c r="G17" s="13">
        <v>3</v>
      </c>
      <c r="H17" s="13">
        <v>2.8</v>
      </c>
      <c r="I17" s="13">
        <v>3.4</v>
      </c>
      <c r="J17" s="13">
        <v>2.9</v>
      </c>
      <c r="K17" s="13">
        <v>9</v>
      </c>
      <c r="L17" s="13">
        <v>25</v>
      </c>
      <c r="M17" s="13">
        <v>11</v>
      </c>
      <c r="N17" s="13">
        <v>25</v>
      </c>
      <c r="O17" s="13">
        <v>0.3</v>
      </c>
      <c r="P17" s="13">
        <v>1.1</v>
      </c>
      <c r="Q17" s="13">
        <v>210</v>
      </c>
      <c r="R17"/>
      <c r="S17"/>
      <c r="T17"/>
      <c r="U17"/>
      <c r="V17"/>
      <c r="W17"/>
      <c r="X17"/>
      <c r="Y17"/>
      <c r="Z17"/>
      <c r="AA17"/>
      <c r="AB17"/>
    </row>
    <row r="18" s="7" customFormat="1" customHeight="1" spans="1:28">
      <c r="A18" s="14" t="s">
        <v>631</v>
      </c>
      <c r="B18" s="14" t="str">
        <f>_xlfn.DISPIMG("ID_B028B4CB13B541809C33537CEB05C15F",1)</f>
        <v>=DISPIMG("ID_B028B4CB13B541809C33537CEB05C15F",1)</v>
      </c>
      <c r="C18" s="15">
        <v>3.5</v>
      </c>
      <c r="D18" s="15">
        <v>1.6</v>
      </c>
      <c r="E18" s="15">
        <v>1.9</v>
      </c>
      <c r="F18" s="15">
        <v>1.9</v>
      </c>
      <c r="G18" s="15">
        <v>6.2</v>
      </c>
      <c r="H18" s="15">
        <v>7.3</v>
      </c>
      <c r="I18" s="15">
        <v>7.1</v>
      </c>
      <c r="J18" s="15">
        <v>7.4</v>
      </c>
      <c r="K18" s="15">
        <v>13</v>
      </c>
      <c r="L18" s="15">
        <v>43</v>
      </c>
      <c r="M18" s="15">
        <v>18</v>
      </c>
      <c r="N18" s="15">
        <v>44</v>
      </c>
      <c r="O18" s="15">
        <v>1.2</v>
      </c>
      <c r="P18" s="15">
        <v>2.4</v>
      </c>
      <c r="Q18" s="15">
        <v>220</v>
      </c>
      <c r="R18"/>
      <c r="S18"/>
      <c r="T18"/>
      <c r="U18"/>
      <c r="V18"/>
      <c r="W18"/>
      <c r="X18"/>
      <c r="Y18"/>
      <c r="Z18"/>
      <c r="AA18"/>
      <c r="AB18"/>
    </row>
    <row r="19" s="7" customFormat="1" customHeight="1" spans="1:28">
      <c r="A19" s="8" t="s">
        <v>632</v>
      </c>
      <c r="B19" s="8" t="str">
        <f>_xlfn.DISPIMG("ID_604807A0705F4D82964C367D3BB47268",1)</f>
        <v>=DISPIMG("ID_604807A0705F4D82964C367D3BB47268",1)</v>
      </c>
      <c r="C19" s="9">
        <v>0.8</v>
      </c>
      <c r="D19" s="9">
        <v>0.8</v>
      </c>
      <c r="E19" s="9">
        <v>0.8</v>
      </c>
      <c r="F19" s="9">
        <v>0.8</v>
      </c>
      <c r="G19" s="9">
        <v>4</v>
      </c>
      <c r="H19" s="9">
        <v>4.4</v>
      </c>
      <c r="I19" s="9">
        <v>3.8</v>
      </c>
      <c r="J19" s="9">
        <v>4.2</v>
      </c>
      <c r="K19" s="9">
        <v>10</v>
      </c>
      <c r="L19" s="9">
        <v>14</v>
      </c>
      <c r="M19" s="9">
        <v>11</v>
      </c>
      <c r="N19" s="9">
        <v>28</v>
      </c>
      <c r="O19" s="9">
        <v>0</v>
      </c>
      <c r="P19" s="9">
        <v>1</v>
      </c>
      <c r="Q19" s="9">
        <v>200</v>
      </c>
      <c r="R19"/>
      <c r="S19"/>
      <c r="T19"/>
      <c r="U19"/>
      <c r="V19"/>
      <c r="W19"/>
      <c r="X19"/>
      <c r="Y19"/>
      <c r="Z19"/>
      <c r="AA19"/>
      <c r="AB19"/>
    </row>
    <row r="20" s="7" customFormat="1" customHeight="1" spans="1:28">
      <c r="A20" s="10" t="s">
        <v>633</v>
      </c>
      <c r="B20" s="10" t="str">
        <f>_xlfn.DISPIMG("ID_2F05FC2488D44E34837E8249ED805997",1)</f>
        <v>=DISPIMG("ID_2F05FC2488D44E34837E8249ED805997",1)</v>
      </c>
      <c r="C20" s="11">
        <v>4.1</v>
      </c>
      <c r="D20" s="11">
        <v>4.1</v>
      </c>
      <c r="E20" s="11">
        <v>4.8</v>
      </c>
      <c r="F20" s="11">
        <v>3.5</v>
      </c>
      <c r="G20" s="11">
        <v>13</v>
      </c>
      <c r="H20" s="11">
        <v>13.7</v>
      </c>
      <c r="I20" s="11">
        <v>12.8</v>
      </c>
      <c r="J20" s="11">
        <v>13.2</v>
      </c>
      <c r="K20" s="11">
        <v>22</v>
      </c>
      <c r="L20" s="11">
        <v>40</v>
      </c>
      <c r="M20" s="11">
        <v>30</v>
      </c>
      <c r="N20" s="11">
        <v>88</v>
      </c>
      <c r="O20" s="11">
        <v>4.9</v>
      </c>
      <c r="P20" s="11">
        <v>4.1</v>
      </c>
      <c r="Q20" s="11">
        <v>230</v>
      </c>
      <c r="R20"/>
      <c r="S20"/>
      <c r="T20"/>
      <c r="U20"/>
      <c r="V20"/>
      <c r="W20"/>
      <c r="X20"/>
      <c r="Y20"/>
      <c r="Z20"/>
      <c r="AA20"/>
      <c r="AB20"/>
    </row>
    <row r="21" s="7" customFormat="1" customHeight="1" spans="1:28">
      <c r="A21" s="12" t="s">
        <v>634</v>
      </c>
      <c r="B21" s="12" t="str">
        <f>_xlfn.DISPIMG("ID_0B6E57C84E934D229BDECE4365BB1802",1)</f>
        <v>=DISPIMG("ID_0B6E57C84E934D229BDECE4365BB1802",1)</v>
      </c>
      <c r="C21" s="13">
        <v>0.9</v>
      </c>
      <c r="D21" s="13">
        <v>0.9</v>
      </c>
      <c r="E21" s="13">
        <v>1.1</v>
      </c>
      <c r="F21" s="13">
        <v>0.8</v>
      </c>
      <c r="G21" s="13">
        <v>3.6</v>
      </c>
      <c r="H21" s="13">
        <v>3.4</v>
      </c>
      <c r="I21" s="13">
        <v>3.3</v>
      </c>
      <c r="J21" s="13">
        <v>3.4</v>
      </c>
      <c r="K21" s="13">
        <v>7</v>
      </c>
      <c r="L21" s="13">
        <v>13</v>
      </c>
      <c r="M21" s="13">
        <v>11</v>
      </c>
      <c r="N21" s="13">
        <v>26</v>
      </c>
      <c r="O21" s="13">
        <v>0.8</v>
      </c>
      <c r="P21" s="13">
        <v>1.3</v>
      </c>
      <c r="Q21" s="13">
        <v>220</v>
      </c>
      <c r="R21"/>
      <c r="S21"/>
      <c r="T21"/>
      <c r="U21"/>
      <c r="V21"/>
      <c r="W21"/>
      <c r="X21"/>
      <c r="Y21"/>
      <c r="Z21"/>
      <c r="AA21"/>
      <c r="AB21"/>
    </row>
    <row r="22" s="7" customFormat="1" customHeight="1" spans="1:28">
      <c r="A22" s="14" t="s">
        <v>635</v>
      </c>
      <c r="B22" s="14" t="str">
        <f>_xlfn.DISPIMG("ID_27A3771D5AB949BEBDA6C12A31F0C1D6",1)</f>
        <v>=DISPIMG("ID_27A3771D5AB949BEBDA6C12A31F0C1D6",1)</v>
      </c>
      <c r="C22" s="15">
        <v>1.7</v>
      </c>
      <c r="D22" s="15">
        <v>1.7</v>
      </c>
      <c r="E22" s="15">
        <v>1.7</v>
      </c>
      <c r="F22" s="15">
        <v>1.5</v>
      </c>
      <c r="G22" s="15">
        <v>6.9</v>
      </c>
      <c r="H22" s="15">
        <v>7.1</v>
      </c>
      <c r="I22" s="15">
        <v>6.6</v>
      </c>
      <c r="J22" s="15">
        <v>7</v>
      </c>
      <c r="K22" s="15">
        <v>15</v>
      </c>
      <c r="L22" s="15">
        <v>24</v>
      </c>
      <c r="M22" s="15">
        <v>18</v>
      </c>
      <c r="N22" s="15">
        <v>48</v>
      </c>
      <c r="O22" s="15">
        <v>1.4</v>
      </c>
      <c r="P22" s="15">
        <v>2</v>
      </c>
      <c r="Q22" s="15">
        <v>210</v>
      </c>
      <c r="R22"/>
      <c r="S22"/>
      <c r="T22"/>
      <c r="U22"/>
      <c r="V22"/>
      <c r="W22"/>
      <c r="X22"/>
      <c r="Y22"/>
      <c r="Z22"/>
      <c r="AA22"/>
      <c r="AB22"/>
    </row>
    <row r="23" s="7" customFormat="1" customHeight="1" spans="1:28">
      <c r="A23" s="8" t="s">
        <v>636</v>
      </c>
      <c r="B23" s="8" t="str">
        <f>_xlfn.DISPIMG("ID_A8DFFB6251F94E7787AFEE729F779DC5",1)</f>
        <v>=DISPIMG("ID_A8DFFB6251F94E7787AFEE729F779DC5",1)</v>
      </c>
      <c r="C23" s="9">
        <v>1.5</v>
      </c>
      <c r="D23" s="9">
        <v>1.3</v>
      </c>
      <c r="E23" s="9">
        <v>1.3</v>
      </c>
      <c r="F23" s="9">
        <v>1.5</v>
      </c>
      <c r="G23" s="9">
        <v>4.9</v>
      </c>
      <c r="H23" s="9">
        <v>4.3</v>
      </c>
      <c r="I23" s="9">
        <v>4.5</v>
      </c>
      <c r="J23" s="9">
        <v>4.9</v>
      </c>
      <c r="K23" s="9">
        <v>11</v>
      </c>
      <c r="L23" s="9">
        <v>15</v>
      </c>
      <c r="M23" s="9">
        <v>12</v>
      </c>
      <c r="N23" s="9">
        <v>28</v>
      </c>
      <c r="O23" s="9">
        <v>0.6</v>
      </c>
      <c r="P23" s="9">
        <v>1.2</v>
      </c>
      <c r="Q23" s="9">
        <v>210</v>
      </c>
      <c r="R23"/>
      <c r="S23"/>
      <c r="T23"/>
      <c r="U23"/>
      <c r="V23"/>
      <c r="W23"/>
      <c r="X23"/>
      <c r="Y23"/>
      <c r="Z23"/>
      <c r="AA23"/>
      <c r="AB23"/>
    </row>
    <row r="24" s="7" customFormat="1" customHeight="1" spans="1:28">
      <c r="A24" s="10" t="s">
        <v>637</v>
      </c>
      <c r="B24" s="10" t="str">
        <f>_xlfn.DISPIMG("ID_570BE3261974460583A46F44BCDFC798",1)</f>
        <v>=DISPIMG("ID_570BE3261974460583A46F44BCDFC798",1)</v>
      </c>
      <c r="C24" s="11">
        <v>3.6</v>
      </c>
      <c r="D24" s="11">
        <v>3.1</v>
      </c>
      <c r="E24" s="11">
        <v>3.1</v>
      </c>
      <c r="F24" s="11">
        <v>3.6</v>
      </c>
      <c r="G24" s="11">
        <v>12.7</v>
      </c>
      <c r="H24" s="11">
        <v>11.6</v>
      </c>
      <c r="I24" s="11">
        <v>12.1</v>
      </c>
      <c r="J24" s="11">
        <v>12.7</v>
      </c>
      <c r="K24" s="11">
        <v>32</v>
      </c>
      <c r="L24" s="11">
        <v>40</v>
      </c>
      <c r="M24" s="11">
        <v>35</v>
      </c>
      <c r="N24" s="11">
        <v>70</v>
      </c>
      <c r="O24" s="11">
        <v>1</v>
      </c>
      <c r="P24" s="11">
        <v>3.7</v>
      </c>
      <c r="Q24" s="11">
        <v>220</v>
      </c>
      <c r="R24"/>
      <c r="S24"/>
      <c r="T24"/>
      <c r="U24"/>
      <c r="V24"/>
      <c r="W24"/>
      <c r="X24"/>
      <c r="Y24"/>
      <c r="Z24"/>
      <c r="AA24"/>
      <c r="AB24"/>
    </row>
    <row r="25" s="7" customFormat="1" customHeight="1" spans="1:28">
      <c r="A25" s="12" t="s">
        <v>638</v>
      </c>
      <c r="B25" s="12" t="str">
        <f>_xlfn.DISPIMG("ID_D64DEFA7545A4D1D8794CEBA91566323",1)</f>
        <v>=DISPIMG("ID_D64DEFA7545A4D1D8794CEBA91566323",1)</v>
      </c>
      <c r="C25" s="13">
        <v>0.9</v>
      </c>
      <c r="D25" s="13">
        <v>0.8</v>
      </c>
      <c r="E25" s="13">
        <v>0.8</v>
      </c>
      <c r="F25" s="13">
        <v>0.9</v>
      </c>
      <c r="G25" s="13">
        <v>3.2</v>
      </c>
      <c r="H25" s="13">
        <v>2.9</v>
      </c>
      <c r="I25" s="13">
        <v>3.1</v>
      </c>
      <c r="J25" s="13">
        <v>3.2</v>
      </c>
      <c r="K25" s="13">
        <v>11</v>
      </c>
      <c r="L25" s="13">
        <v>14</v>
      </c>
      <c r="M25" s="13">
        <v>12</v>
      </c>
      <c r="N25" s="13">
        <v>24</v>
      </c>
      <c r="O25" s="13">
        <v>0</v>
      </c>
      <c r="P25" s="13">
        <v>1.3</v>
      </c>
      <c r="Q25" s="13">
        <v>220</v>
      </c>
      <c r="R25"/>
      <c r="S25"/>
      <c r="T25"/>
      <c r="U25"/>
      <c r="V25"/>
      <c r="W25"/>
      <c r="X25"/>
      <c r="Y25"/>
      <c r="Z25"/>
      <c r="AA25"/>
      <c r="AB25"/>
    </row>
    <row r="26" s="7" customFormat="1" customHeight="1" spans="1:28">
      <c r="A26" s="14" t="s">
        <v>639</v>
      </c>
      <c r="B26" s="14" t="str">
        <f>_xlfn.DISPIMG("ID_B0AA3353E60F42A686148C2653BC5179",1)</f>
        <v>=DISPIMG("ID_B0AA3353E60F42A686148C2653BC5179",1)</v>
      </c>
      <c r="C26" s="15">
        <v>2.1</v>
      </c>
      <c r="D26" s="15">
        <v>1.8</v>
      </c>
      <c r="E26" s="15">
        <v>1.8</v>
      </c>
      <c r="F26" s="15">
        <v>2.1</v>
      </c>
      <c r="G26" s="15">
        <v>7.3</v>
      </c>
      <c r="H26" s="15">
        <v>6.7</v>
      </c>
      <c r="I26" s="15">
        <v>7</v>
      </c>
      <c r="J26" s="15">
        <v>7.3</v>
      </c>
      <c r="K26" s="15">
        <v>18</v>
      </c>
      <c r="L26" s="15">
        <v>23</v>
      </c>
      <c r="M26" s="15">
        <v>20</v>
      </c>
      <c r="N26" s="15">
        <v>42</v>
      </c>
      <c r="O26" s="15">
        <v>1.1</v>
      </c>
      <c r="P26" s="15">
        <v>2.3</v>
      </c>
      <c r="Q26" s="15">
        <v>220</v>
      </c>
      <c r="R26"/>
      <c r="S26"/>
      <c r="T26"/>
      <c r="U26"/>
      <c r="V26"/>
      <c r="W26"/>
      <c r="X26"/>
      <c r="Y26"/>
      <c r="Z26"/>
      <c r="AA26"/>
      <c r="AB26"/>
    </row>
    <row r="27" s="7" customFormat="1" customHeight="1" spans="1:28">
      <c r="A27" s="8" t="s">
        <v>640</v>
      </c>
      <c r="B27" s="8" t="str">
        <f>_xlfn.DISPIMG("ID_F86D712DD3594992852AEA5A17320BDD",1)</f>
        <v>=DISPIMG("ID_F86D712DD3594992852AEA5A17320BDD",1)</v>
      </c>
      <c r="C27" s="9">
        <v>1</v>
      </c>
      <c r="D27" s="9">
        <v>1.2</v>
      </c>
      <c r="E27" s="9">
        <v>1</v>
      </c>
      <c r="F27" s="9">
        <v>0.9</v>
      </c>
      <c r="G27" s="9">
        <v>4.6</v>
      </c>
      <c r="H27" s="9">
        <v>4.3</v>
      </c>
      <c r="I27" s="9">
        <v>4.4</v>
      </c>
      <c r="J27" s="9">
        <v>4.6</v>
      </c>
      <c r="K27" s="9">
        <v>8</v>
      </c>
      <c r="L27" s="9">
        <v>16</v>
      </c>
      <c r="M27" s="9">
        <v>12</v>
      </c>
      <c r="N27" s="9">
        <v>31</v>
      </c>
      <c r="O27" s="9">
        <v>0</v>
      </c>
      <c r="P27" s="9">
        <v>1.4</v>
      </c>
      <c r="Q27" s="9">
        <v>220</v>
      </c>
      <c r="R27"/>
      <c r="S27"/>
      <c r="T27"/>
      <c r="U27"/>
      <c r="V27"/>
      <c r="W27"/>
      <c r="X27"/>
      <c r="Y27"/>
      <c r="Z27"/>
      <c r="AA27"/>
      <c r="AB27"/>
    </row>
    <row r="28" s="7" customFormat="1" customHeight="1" spans="1:28">
      <c r="A28" s="10" t="s">
        <v>641</v>
      </c>
      <c r="B28" s="10" t="str">
        <f>_xlfn.DISPIMG("ID_60622E7740984C68A849C865CB895494",1)</f>
        <v>=DISPIMG("ID_60622E7740984C68A849C865CB895494",1)</v>
      </c>
      <c r="C28" s="11">
        <v>3.5</v>
      </c>
      <c r="D28" s="11">
        <v>4.1</v>
      </c>
      <c r="E28" s="11">
        <v>3.5</v>
      </c>
      <c r="F28" s="11">
        <v>3.1</v>
      </c>
      <c r="G28" s="11">
        <v>13.7</v>
      </c>
      <c r="H28" s="11">
        <v>12.8</v>
      </c>
      <c r="I28" s="11">
        <v>13</v>
      </c>
      <c r="J28" s="11">
        <v>13.7</v>
      </c>
      <c r="K28" s="11">
        <v>19</v>
      </c>
      <c r="L28" s="11">
        <v>38</v>
      </c>
      <c r="M28" s="11">
        <v>30</v>
      </c>
      <c r="N28" s="11">
        <v>75</v>
      </c>
      <c r="O28" s="11">
        <v>0.7</v>
      </c>
      <c r="P28" s="11">
        <v>3.5</v>
      </c>
      <c r="Q28" s="11">
        <v>220</v>
      </c>
      <c r="R28"/>
      <c r="S28"/>
      <c r="T28"/>
      <c r="U28"/>
      <c r="V28"/>
      <c r="W28"/>
      <c r="X28"/>
      <c r="Y28"/>
      <c r="Z28"/>
      <c r="AA28"/>
      <c r="AB28"/>
    </row>
    <row r="29" s="7" customFormat="1" customHeight="1" spans="1:28">
      <c r="A29" s="12" t="s">
        <v>642</v>
      </c>
      <c r="B29" s="12" t="str">
        <f>_xlfn.DISPIMG("ID_61180DB5A1F8481494F44108C918996F",1)</f>
        <v>=DISPIMG("ID_61180DB5A1F8481494F44108C918996F",1)</v>
      </c>
      <c r="C29" s="13">
        <v>0.9</v>
      </c>
      <c r="D29" s="13">
        <v>1.1</v>
      </c>
      <c r="E29" s="13">
        <v>0.9</v>
      </c>
      <c r="F29" s="13">
        <v>0.8</v>
      </c>
      <c r="G29" s="13">
        <v>3.5</v>
      </c>
      <c r="H29" s="13">
        <v>3.3</v>
      </c>
      <c r="I29" s="13">
        <v>3.4</v>
      </c>
      <c r="J29" s="13">
        <v>3.5</v>
      </c>
      <c r="K29" s="13">
        <v>8</v>
      </c>
      <c r="L29" s="13">
        <v>14</v>
      </c>
      <c r="M29" s="13">
        <v>11</v>
      </c>
      <c r="N29" s="13">
        <v>26</v>
      </c>
      <c r="O29" s="13">
        <v>0.3</v>
      </c>
      <c r="P29" s="13">
        <v>1.3</v>
      </c>
      <c r="Q29" s="13">
        <v>220</v>
      </c>
      <c r="R29"/>
      <c r="S29"/>
      <c r="T29"/>
      <c r="U29"/>
      <c r="V29"/>
      <c r="W29"/>
      <c r="X29"/>
      <c r="Y29"/>
      <c r="Z29"/>
      <c r="AA29"/>
      <c r="AB29"/>
    </row>
    <row r="30" s="7" customFormat="1" customHeight="1" spans="1:28">
      <c r="A30" s="14" t="s">
        <v>643</v>
      </c>
      <c r="B30" s="14" t="str">
        <f>_xlfn.DISPIMG("ID_040171DB245F4B72B737B892DBE6C261",1)</f>
        <v>=DISPIMG("ID_040171DB245F4B72B737B892DBE6C261",1)</v>
      </c>
      <c r="C30" s="15">
        <v>1.7</v>
      </c>
      <c r="D30" s="15">
        <v>2</v>
      </c>
      <c r="E30" s="15">
        <v>1.7</v>
      </c>
      <c r="F30" s="15">
        <v>1.5</v>
      </c>
      <c r="G30" s="15">
        <v>7.5</v>
      </c>
      <c r="H30" s="15">
        <v>7</v>
      </c>
      <c r="I30" s="15">
        <v>7.1</v>
      </c>
      <c r="J30" s="15">
        <v>7.5</v>
      </c>
      <c r="K30" s="15">
        <v>13</v>
      </c>
      <c r="L30" s="15">
        <v>25</v>
      </c>
      <c r="M30" s="15">
        <v>20</v>
      </c>
      <c r="N30" s="15">
        <v>48</v>
      </c>
      <c r="O30" s="15">
        <v>0.1</v>
      </c>
      <c r="P30" s="15">
        <v>2.3</v>
      </c>
      <c r="Q30" s="15">
        <v>220</v>
      </c>
      <c r="R30"/>
      <c r="S30"/>
      <c r="T30"/>
      <c r="U30"/>
      <c r="V30"/>
      <c r="W30"/>
      <c r="X30"/>
      <c r="Y30"/>
      <c r="Z30"/>
      <c r="AA30"/>
      <c r="AB30"/>
    </row>
    <row r="31" s="7" customFormat="1" customHeight="1" spans="1:28">
      <c r="A31" s="8" t="s">
        <v>644</v>
      </c>
      <c r="B31" s="8" t="str">
        <f>_xlfn.DISPIMG("ID_15C2159DEF894EE78F0ED14E920D9946",1)</f>
        <v>=DISPIMG("ID_15C2159DEF894EE78F0ED14E920D9946",1)</v>
      </c>
      <c r="C31" s="9">
        <v>1.5</v>
      </c>
      <c r="D31" s="9">
        <v>1.2</v>
      </c>
      <c r="E31" s="9">
        <v>2.9</v>
      </c>
      <c r="F31" s="9">
        <v>1.8</v>
      </c>
      <c r="G31" s="9">
        <v>3.3</v>
      </c>
      <c r="H31" s="9">
        <v>3.3</v>
      </c>
      <c r="I31" s="9">
        <v>4</v>
      </c>
      <c r="J31" s="9">
        <v>1.4</v>
      </c>
      <c r="K31" s="9">
        <v>30</v>
      </c>
      <c r="L31" s="9">
        <v>28</v>
      </c>
      <c r="M31" s="9">
        <v>8</v>
      </c>
      <c r="N31" s="9">
        <v>25</v>
      </c>
      <c r="O31" s="9">
        <v>0.5</v>
      </c>
      <c r="P31" s="9">
        <v>1.5</v>
      </c>
      <c r="Q31" s="9">
        <v>220</v>
      </c>
      <c r="R31"/>
      <c r="S31"/>
      <c r="T31"/>
      <c r="U31"/>
      <c r="V31"/>
      <c r="W31"/>
      <c r="X31"/>
      <c r="Y31"/>
      <c r="Z31"/>
      <c r="AA31"/>
      <c r="AB31"/>
    </row>
    <row r="32" s="7" customFormat="1" customHeight="1" spans="1:28">
      <c r="A32" s="10" t="s">
        <v>645</v>
      </c>
      <c r="B32" s="10" t="str">
        <f>_xlfn.DISPIMG("ID_7221605B2D1D4C4DA2C121F3D3C86848",1)</f>
        <v>=DISPIMG("ID_7221605B2D1D4C4DA2C121F3D3C86848",1)</v>
      </c>
      <c r="C32" s="11">
        <v>4.1</v>
      </c>
      <c r="D32" s="11">
        <v>3.1</v>
      </c>
      <c r="E32" s="11">
        <v>8.1</v>
      </c>
      <c r="F32" s="11">
        <v>4.8</v>
      </c>
      <c r="G32" s="11">
        <v>9</v>
      </c>
      <c r="H32" s="11">
        <v>9</v>
      </c>
      <c r="I32" s="11">
        <v>11.1</v>
      </c>
      <c r="J32" s="11">
        <v>3.6</v>
      </c>
      <c r="K32" s="11">
        <v>63</v>
      </c>
      <c r="L32" s="11">
        <v>59</v>
      </c>
      <c r="M32" s="11">
        <v>13</v>
      </c>
      <c r="N32" s="11">
        <v>51</v>
      </c>
      <c r="O32" s="11">
        <v>1</v>
      </c>
      <c r="P32" s="11">
        <v>3.6</v>
      </c>
      <c r="Q32" s="11">
        <v>220</v>
      </c>
      <c r="R32"/>
      <c r="S32"/>
      <c r="T32"/>
      <c r="U32"/>
      <c r="V32"/>
      <c r="W32"/>
      <c r="X32"/>
      <c r="Y32"/>
      <c r="Z32"/>
      <c r="AA32"/>
      <c r="AB32"/>
    </row>
    <row r="33" s="7" customFormat="1" customHeight="1" spans="1:28">
      <c r="A33" s="12" t="s">
        <v>646</v>
      </c>
      <c r="B33" s="12" t="str">
        <f>_xlfn.DISPIMG("ID_7097A64AABF644DA9007D22AED6D064D",1)</f>
        <v>=DISPIMG("ID_7097A64AABF644DA9007D22AED6D064D",1)</v>
      </c>
      <c r="C33" s="13">
        <v>0.8</v>
      </c>
      <c r="D33" s="13">
        <v>0.5</v>
      </c>
      <c r="E33" s="13">
        <v>1.8</v>
      </c>
      <c r="F33" s="13">
        <v>1</v>
      </c>
      <c r="G33" s="13">
        <v>1.9</v>
      </c>
      <c r="H33" s="13">
        <v>1.9</v>
      </c>
      <c r="I33" s="13">
        <v>2.5</v>
      </c>
      <c r="J33" s="13">
        <v>0.6</v>
      </c>
      <c r="K33" s="13">
        <v>20</v>
      </c>
      <c r="L33" s="13">
        <v>18</v>
      </c>
      <c r="M33" s="13">
        <v>3</v>
      </c>
      <c r="N33" s="13">
        <v>16</v>
      </c>
      <c r="O33" s="13">
        <v>0</v>
      </c>
      <c r="P33" s="13">
        <v>1.2</v>
      </c>
      <c r="Q33" s="13">
        <v>220</v>
      </c>
      <c r="R33"/>
      <c r="S33"/>
      <c r="T33"/>
      <c r="U33"/>
      <c r="V33"/>
      <c r="W33"/>
      <c r="X33"/>
      <c r="Y33"/>
      <c r="Z33"/>
      <c r="AA33"/>
      <c r="AB33"/>
    </row>
    <row r="34" s="7" customFormat="1" customHeight="1" spans="1:28">
      <c r="A34" s="14" t="s">
        <v>647</v>
      </c>
      <c r="B34" s="14" t="str">
        <f>_xlfn.DISPIMG("ID_BE04BA2963434455AF9F381E54972285",1)</f>
        <v>=DISPIMG("ID_BE04BA2963434455AF9F381E54972285",1)</v>
      </c>
      <c r="C34" s="15">
        <v>2</v>
      </c>
      <c r="D34" s="15">
        <v>1.5</v>
      </c>
      <c r="E34" s="15">
        <v>4.3</v>
      </c>
      <c r="F34" s="15">
        <v>2.5</v>
      </c>
      <c r="G34" s="15">
        <v>4.8</v>
      </c>
      <c r="H34" s="15">
        <v>4.8</v>
      </c>
      <c r="I34" s="15">
        <v>6</v>
      </c>
      <c r="J34" s="15">
        <v>1.7</v>
      </c>
      <c r="K34" s="15">
        <v>42</v>
      </c>
      <c r="L34" s="15">
        <v>40</v>
      </c>
      <c r="M34" s="15">
        <v>11</v>
      </c>
      <c r="N34" s="15">
        <v>35</v>
      </c>
      <c r="O34" s="15">
        <v>0.3</v>
      </c>
      <c r="P34" s="15">
        <v>2.2</v>
      </c>
      <c r="Q34" s="15">
        <v>220</v>
      </c>
      <c r="R34"/>
      <c r="S34"/>
      <c r="T34"/>
      <c r="U34"/>
      <c r="V34"/>
      <c r="W34"/>
      <c r="X34"/>
      <c r="Y34"/>
      <c r="Z34"/>
      <c r="AA34"/>
      <c r="AB34"/>
    </row>
    <row r="35" s="7" customFormat="1" customHeight="1" spans="1:28">
      <c r="A35" s="8" t="s">
        <v>648</v>
      </c>
      <c r="B35" s="8" t="str">
        <f>_xlfn.DISPIMG("ID_FC415D11919A4FC7B157060649E974BD",1)</f>
        <v>=DISPIMG("ID_FC415D11919A4FC7B157060649E974BD",1)</v>
      </c>
      <c r="C35" s="9">
        <v>2.5</v>
      </c>
      <c r="D35" s="9">
        <v>2.2</v>
      </c>
      <c r="E35" s="9">
        <v>1.7</v>
      </c>
      <c r="F35" s="9">
        <v>2.5</v>
      </c>
      <c r="G35" s="9">
        <v>2</v>
      </c>
      <c r="H35" s="9">
        <v>1.5</v>
      </c>
      <c r="I35" s="9">
        <v>2</v>
      </c>
      <c r="J35" s="9">
        <v>1.1</v>
      </c>
      <c r="K35" s="9">
        <v>15</v>
      </c>
      <c r="L35" s="9">
        <v>18</v>
      </c>
      <c r="M35" s="9">
        <v>20</v>
      </c>
      <c r="N35" s="9">
        <v>18</v>
      </c>
      <c r="O35" s="9">
        <v>0.4</v>
      </c>
      <c r="P35" s="9">
        <v>1.5</v>
      </c>
      <c r="Q35" s="9">
        <v>210</v>
      </c>
      <c r="R35"/>
      <c r="S35"/>
      <c r="T35"/>
      <c r="U35"/>
      <c r="V35"/>
      <c r="W35"/>
      <c r="X35"/>
      <c r="Y35"/>
      <c r="Z35"/>
      <c r="AA35"/>
      <c r="AB35"/>
    </row>
    <row r="36" s="7" customFormat="1" customHeight="1" spans="1:28">
      <c r="A36" s="10" t="s">
        <v>649</v>
      </c>
      <c r="B36" s="10" t="str">
        <f>_xlfn.DISPIMG("ID_8A8097E9BE4747ACBBADE802A87E0EAB",1)</f>
        <v>=DISPIMG("ID_8A8097E9BE4747ACBBADE802A87E0EAB",1)</v>
      </c>
      <c r="C36" s="11">
        <v>6.8</v>
      </c>
      <c r="D36" s="11">
        <v>5.5</v>
      </c>
      <c r="E36" s="11">
        <v>4.4</v>
      </c>
      <c r="F36" s="11">
        <v>6.8</v>
      </c>
      <c r="G36" s="11">
        <v>4.2</v>
      </c>
      <c r="H36" s="11">
        <v>5.2</v>
      </c>
      <c r="I36" s="11">
        <v>6.6</v>
      </c>
      <c r="J36" s="11">
        <v>4.2</v>
      </c>
      <c r="K36" s="11">
        <v>27</v>
      </c>
      <c r="L36" s="11">
        <v>40</v>
      </c>
      <c r="M36" s="11">
        <v>38</v>
      </c>
      <c r="N36" s="11">
        <v>34</v>
      </c>
      <c r="O36" s="11">
        <v>2.2</v>
      </c>
      <c r="P36" s="11">
        <v>3.7</v>
      </c>
      <c r="Q36" s="11">
        <v>220</v>
      </c>
      <c r="R36"/>
      <c r="S36"/>
      <c r="T36"/>
      <c r="U36"/>
      <c r="V36"/>
      <c r="W36"/>
      <c r="X36"/>
      <c r="Y36"/>
      <c r="Z36"/>
      <c r="AA36"/>
      <c r="AB36"/>
    </row>
    <row r="37" s="7" customFormat="1" customHeight="1" spans="1:28">
      <c r="A37" s="12" t="s">
        <v>650</v>
      </c>
      <c r="B37" s="12" t="str">
        <f>_xlfn.DISPIMG("ID_C9E53BF51C974EDABFE5DA7F8561476A",1)</f>
        <v>=DISPIMG("ID_C9E53BF51C974EDABFE5DA7F8561476A",1)</v>
      </c>
      <c r="C37" s="13">
        <v>1.6</v>
      </c>
      <c r="D37" s="13">
        <v>1.4</v>
      </c>
      <c r="E37" s="13">
        <v>1.6</v>
      </c>
      <c r="F37" s="13">
        <v>1.6</v>
      </c>
      <c r="G37" s="13">
        <v>1.6</v>
      </c>
      <c r="H37" s="13">
        <v>1.9</v>
      </c>
      <c r="I37" s="13">
        <v>2.2</v>
      </c>
      <c r="J37" s="13">
        <v>1.6</v>
      </c>
      <c r="K37" s="13">
        <v>10</v>
      </c>
      <c r="L37" s="13">
        <v>15</v>
      </c>
      <c r="M37" s="13">
        <v>14</v>
      </c>
      <c r="N37" s="13">
        <v>13</v>
      </c>
      <c r="O37" s="13">
        <v>1.1</v>
      </c>
      <c r="P37" s="13">
        <v>1.3</v>
      </c>
      <c r="Q37" s="13">
        <v>220</v>
      </c>
      <c r="R37"/>
      <c r="S37"/>
      <c r="T37"/>
      <c r="U37"/>
      <c r="V37"/>
      <c r="W37"/>
      <c r="X37"/>
      <c r="Y37"/>
      <c r="Z37"/>
      <c r="AA37"/>
      <c r="AB37"/>
    </row>
    <row r="38" s="7" customFormat="1" customHeight="1" spans="1:28">
      <c r="A38" s="14" t="s">
        <v>651</v>
      </c>
      <c r="B38" s="14" t="str">
        <f>_xlfn.DISPIMG("ID_D8F7AC30C35247279FA7763A1DBBDD19",1)</f>
        <v>=DISPIMG("ID_D8F7AC30C35247279FA7763A1DBBDD19",1)</v>
      </c>
      <c r="C38" s="15">
        <v>4.2</v>
      </c>
      <c r="D38" s="15">
        <v>3.5</v>
      </c>
      <c r="E38" s="15">
        <v>2.9</v>
      </c>
      <c r="F38" s="15">
        <v>4.2</v>
      </c>
      <c r="G38" s="15">
        <v>3.1</v>
      </c>
      <c r="H38" s="15">
        <v>3.7</v>
      </c>
      <c r="I38" s="15">
        <v>4.5</v>
      </c>
      <c r="J38" s="15">
        <v>3.1</v>
      </c>
      <c r="K38" s="15">
        <v>16</v>
      </c>
      <c r="L38" s="15">
        <v>24</v>
      </c>
      <c r="M38" s="15">
        <v>23</v>
      </c>
      <c r="N38" s="15">
        <v>2</v>
      </c>
      <c r="O38" s="15">
        <v>2.1</v>
      </c>
      <c r="P38" s="15">
        <v>2.3</v>
      </c>
      <c r="Q38" s="15">
        <v>230</v>
      </c>
      <c r="R38"/>
      <c r="S38"/>
      <c r="T38"/>
      <c r="U38"/>
      <c r="V38"/>
      <c r="W38"/>
      <c r="X38"/>
      <c r="Y38"/>
      <c r="Z38"/>
      <c r="AA38"/>
      <c r="AB38"/>
    </row>
    <row r="39" s="7" customFormat="1" customHeight="1" spans="1:28">
      <c r="A39" s="8" t="s">
        <v>652</v>
      </c>
      <c r="B39" s="8" t="str">
        <f>_xlfn.DISPIMG("ID_26AFD016109D4288991004605CC7C101",1)</f>
        <v>=DISPIMG("ID_26AFD016109D4288991004605CC7C101",1)</v>
      </c>
      <c r="C39" s="9">
        <v>1.4</v>
      </c>
      <c r="D39" s="9">
        <v>1.7</v>
      </c>
      <c r="E39" s="9">
        <v>1.4</v>
      </c>
      <c r="F39" s="9">
        <v>1.1</v>
      </c>
      <c r="G39" s="9">
        <v>3.6</v>
      </c>
      <c r="H39" s="9">
        <v>4.1</v>
      </c>
      <c r="I39" s="9">
        <v>2.4</v>
      </c>
      <c r="J39" s="9">
        <v>1.6</v>
      </c>
      <c r="K39" s="9">
        <v>35</v>
      </c>
      <c r="L39" s="9">
        <v>28</v>
      </c>
      <c r="M39" s="9">
        <v>22</v>
      </c>
      <c r="N39" s="9">
        <v>20</v>
      </c>
      <c r="O39" s="9">
        <v>0.5</v>
      </c>
      <c r="P39" s="9">
        <v>2.1</v>
      </c>
      <c r="Q39" s="9">
        <v>250</v>
      </c>
      <c r="R39"/>
      <c r="S39"/>
      <c r="T39"/>
      <c r="U39"/>
      <c r="V39"/>
      <c r="W39"/>
      <c r="X39"/>
      <c r="Y39"/>
      <c r="Z39"/>
      <c r="AA39"/>
      <c r="AB39"/>
    </row>
    <row r="40" s="7" customFormat="1" customHeight="1" spans="1:28">
      <c r="A40" s="10" t="s">
        <v>653</v>
      </c>
      <c r="B40" s="10" t="str">
        <f>_xlfn.DISPIMG("ID_3346DE4CB11041559B0608D2F14C62EB",1)</f>
        <v>=DISPIMG("ID_3346DE4CB11041559B0608D2F14C62EB",1)</v>
      </c>
      <c r="C40" s="11">
        <v>4.2</v>
      </c>
      <c r="D40" s="11">
        <v>4.2</v>
      </c>
      <c r="E40" s="11">
        <v>4.2</v>
      </c>
      <c r="F40" s="11">
        <v>3.2</v>
      </c>
      <c r="G40" s="11">
        <v>13.4</v>
      </c>
      <c r="H40" s="11">
        <v>12.8</v>
      </c>
      <c r="I40" s="11">
        <v>11.8</v>
      </c>
      <c r="J40" s="11">
        <v>12.3</v>
      </c>
      <c r="K40" s="11">
        <v>35</v>
      </c>
      <c r="L40" s="11">
        <v>60</v>
      </c>
      <c r="M40" s="11">
        <v>32</v>
      </c>
      <c r="N40" s="11">
        <v>70</v>
      </c>
      <c r="O40" s="11">
        <v>2</v>
      </c>
      <c r="P40" s="11">
        <v>3.6</v>
      </c>
      <c r="Q40" s="11">
        <v>220</v>
      </c>
      <c r="R40"/>
      <c r="S40"/>
      <c r="T40"/>
      <c r="U40"/>
      <c r="V40"/>
      <c r="W40"/>
      <c r="X40"/>
      <c r="Y40"/>
      <c r="Z40"/>
      <c r="AA40"/>
      <c r="AB40"/>
    </row>
    <row r="41" s="7" customFormat="1" customHeight="1" spans="1:28">
      <c r="A41" s="12" t="s">
        <v>654</v>
      </c>
      <c r="B41" s="12" t="str">
        <f>_xlfn.DISPIMG("ID_1FA3A2BBB196484A80FAD7241EE2B6C6",1)</f>
        <v>=DISPIMG("ID_1FA3A2BBB196484A80FAD7241EE2B6C6",1)</v>
      </c>
      <c r="C41" s="13">
        <v>1</v>
      </c>
      <c r="D41" s="13">
        <v>1</v>
      </c>
      <c r="E41" s="13">
        <v>1</v>
      </c>
      <c r="F41" s="13">
        <v>0.9</v>
      </c>
      <c r="G41" s="13">
        <v>3.6</v>
      </c>
      <c r="H41" s="13">
        <v>3.3</v>
      </c>
      <c r="I41" s="13">
        <v>3.1</v>
      </c>
      <c r="J41" s="13">
        <v>3.2</v>
      </c>
      <c r="K41" s="13">
        <v>9</v>
      </c>
      <c r="L41" s="13">
        <v>17</v>
      </c>
      <c r="M41" s="13">
        <v>8</v>
      </c>
      <c r="N41" s="13">
        <v>21</v>
      </c>
      <c r="O41" s="13">
        <v>0.2</v>
      </c>
      <c r="P41" s="13">
        <v>1</v>
      </c>
      <c r="Q41" s="13">
        <v>210</v>
      </c>
      <c r="R41"/>
      <c r="S41"/>
      <c r="T41"/>
      <c r="U41"/>
      <c r="V41"/>
      <c r="W41"/>
      <c r="X41"/>
      <c r="Y41"/>
      <c r="Z41"/>
      <c r="AA41"/>
      <c r="AB41"/>
    </row>
    <row r="42" s="7" customFormat="1" customHeight="1" spans="1:28">
      <c r="A42" s="14" t="s">
        <v>655</v>
      </c>
      <c r="B42" s="14" t="str">
        <f>_xlfn.DISPIMG("ID_6C827C250E4248CDB44480FFD512A04E",1)</f>
        <v>=DISPIMG("ID_6C827C250E4248CDB44480FFD512A04E",1)</v>
      </c>
      <c r="C42" s="15">
        <v>1.9</v>
      </c>
      <c r="D42" s="15">
        <v>1.9</v>
      </c>
      <c r="E42" s="15">
        <v>1.9</v>
      </c>
      <c r="F42" s="15">
        <v>1.4</v>
      </c>
      <c r="G42" s="15">
        <v>7</v>
      </c>
      <c r="H42" s="15">
        <v>6.7</v>
      </c>
      <c r="I42" s="15">
        <v>6.1</v>
      </c>
      <c r="J42" s="15">
        <v>6.4</v>
      </c>
      <c r="K42" s="15">
        <v>20</v>
      </c>
      <c r="L42" s="15">
        <v>35</v>
      </c>
      <c r="M42" s="15">
        <v>18</v>
      </c>
      <c r="N42" s="15">
        <v>44</v>
      </c>
      <c r="O42" s="15">
        <v>1</v>
      </c>
      <c r="P42" s="15">
        <v>2.2</v>
      </c>
      <c r="Q42" s="15">
        <v>220</v>
      </c>
      <c r="R42"/>
      <c r="S42"/>
      <c r="T42"/>
      <c r="U42"/>
      <c r="V42"/>
      <c r="W42"/>
      <c r="X42"/>
      <c r="Y42"/>
      <c r="Z42"/>
      <c r="AA42"/>
      <c r="AB42"/>
    </row>
    <row r="43" s="7" customFormat="1" customHeight="1" spans="1:28">
      <c r="A43" s="8" t="s">
        <v>656</v>
      </c>
      <c r="B43" s="8" t="str">
        <f>_xlfn.DISPIMG("ID_51ACAAF1E62147A88F3101F5A9446C84",1)</f>
        <v>=DISPIMG("ID_51ACAAF1E62147A88F3101F5A9446C84",1)</v>
      </c>
      <c r="C43" s="9">
        <v>0.9</v>
      </c>
      <c r="D43" s="9">
        <v>1.1</v>
      </c>
      <c r="E43" s="9">
        <v>0.9</v>
      </c>
      <c r="F43" s="9">
        <v>1.1</v>
      </c>
      <c r="G43" s="9">
        <v>4.1</v>
      </c>
      <c r="H43" s="9">
        <v>3.7</v>
      </c>
      <c r="I43" s="9">
        <v>4.5</v>
      </c>
      <c r="J43" s="9">
        <v>4.4</v>
      </c>
      <c r="K43" s="9">
        <v>14</v>
      </c>
      <c r="L43" s="9">
        <v>21</v>
      </c>
      <c r="M43" s="9">
        <v>15</v>
      </c>
      <c r="N43" s="9">
        <v>33</v>
      </c>
      <c r="O43" s="9">
        <v>0.1</v>
      </c>
      <c r="P43" s="9">
        <v>1.5</v>
      </c>
      <c r="Q43" s="9">
        <v>220</v>
      </c>
      <c r="R43"/>
      <c r="S43"/>
      <c r="T43"/>
      <c r="U43"/>
      <c r="V43"/>
      <c r="W43"/>
      <c r="X43"/>
      <c r="Y43"/>
      <c r="Z43"/>
      <c r="AA43"/>
      <c r="AB43"/>
    </row>
    <row r="44" s="7" customFormat="1" customHeight="1" spans="1:28">
      <c r="A44" s="10" t="s">
        <v>657</v>
      </c>
      <c r="B44" s="10" t="str">
        <f>_xlfn.DISPIMG("ID_52E210F3AA194E468F8449984515BD31",1)</f>
        <v>=DISPIMG("ID_52E210F3AA194E468F8449984515BD31",1)</v>
      </c>
      <c r="C44" s="11">
        <v>3.6</v>
      </c>
      <c r="D44" s="11">
        <v>4.4</v>
      </c>
      <c r="E44" s="11">
        <v>3.6</v>
      </c>
      <c r="F44" s="11">
        <v>4.4</v>
      </c>
      <c r="G44" s="11">
        <v>12.3</v>
      </c>
      <c r="H44" s="11">
        <v>11.6</v>
      </c>
      <c r="I44" s="11">
        <v>13.5</v>
      </c>
      <c r="J44" s="11">
        <v>13.2</v>
      </c>
      <c r="K44" s="11">
        <v>29</v>
      </c>
      <c r="L44" s="11">
        <v>46</v>
      </c>
      <c r="M44" s="11">
        <v>32</v>
      </c>
      <c r="N44" s="11">
        <v>74</v>
      </c>
      <c r="O44" s="11">
        <v>1.6</v>
      </c>
      <c r="P44" s="11">
        <v>4.2</v>
      </c>
      <c r="Q44" s="11">
        <v>230</v>
      </c>
      <c r="R44"/>
      <c r="S44"/>
      <c r="T44"/>
      <c r="U44"/>
      <c r="V44"/>
      <c r="W44"/>
      <c r="X44"/>
      <c r="Y44"/>
      <c r="Z44"/>
      <c r="AA44"/>
      <c r="AB44"/>
    </row>
    <row r="45" s="7" customFormat="1" customHeight="1" spans="1:28">
      <c r="A45" s="12" t="s">
        <v>658</v>
      </c>
      <c r="B45" s="12" t="str">
        <f>_xlfn.DISPIMG("ID_BB9531063E4649EDB2DD785EB4A7F90F",1)</f>
        <v>=DISPIMG("ID_BB9531063E4649EDB2DD785EB4A7F90F",1)</v>
      </c>
      <c r="C45" s="13">
        <v>1</v>
      </c>
      <c r="D45" s="13">
        <v>1.1</v>
      </c>
      <c r="E45" s="13">
        <v>1</v>
      </c>
      <c r="F45" s="13">
        <v>1.1</v>
      </c>
      <c r="G45" s="13">
        <v>3.2</v>
      </c>
      <c r="H45" s="13">
        <v>3</v>
      </c>
      <c r="I45" s="13">
        <v>3.6</v>
      </c>
      <c r="J45" s="13">
        <v>3.5</v>
      </c>
      <c r="K45" s="13">
        <v>7</v>
      </c>
      <c r="L45" s="13">
        <v>12</v>
      </c>
      <c r="M45" s="13">
        <v>7</v>
      </c>
      <c r="N45" s="13">
        <v>21</v>
      </c>
      <c r="O45" s="13">
        <v>0.5</v>
      </c>
      <c r="P45" s="13">
        <v>1</v>
      </c>
      <c r="Q45" s="13">
        <v>210</v>
      </c>
      <c r="R45"/>
      <c r="S45"/>
      <c r="T45"/>
      <c r="U45"/>
      <c r="V45"/>
      <c r="W45"/>
      <c r="X45"/>
      <c r="Y45"/>
      <c r="Z45"/>
      <c r="AA45"/>
      <c r="AB45"/>
    </row>
    <row r="46" s="7" customFormat="1" customHeight="1" spans="1:28">
      <c r="A46" s="14" t="s">
        <v>659</v>
      </c>
      <c r="B46" s="14" t="str">
        <f>_xlfn.DISPIMG("ID_4A0B501F1DB4428FB7206E9D102A209C",1)</f>
        <v>=DISPIMG("ID_4A0B501F1DB4428FB7206E9D102A209C",1)</v>
      </c>
      <c r="C46" s="15">
        <v>2.2</v>
      </c>
      <c r="D46" s="15">
        <v>2.5</v>
      </c>
      <c r="E46" s="15">
        <v>2.2</v>
      </c>
      <c r="F46" s="15">
        <v>2.5</v>
      </c>
      <c r="G46" s="15">
        <v>7.4</v>
      </c>
      <c r="H46" s="15">
        <v>6.8</v>
      </c>
      <c r="I46" s="15">
        <v>8</v>
      </c>
      <c r="J46" s="15">
        <v>7.9</v>
      </c>
      <c r="K46" s="15">
        <v>19</v>
      </c>
      <c r="L46" s="15">
        <v>29</v>
      </c>
      <c r="M46" s="15">
        <v>21</v>
      </c>
      <c r="N46" s="15">
        <v>47</v>
      </c>
      <c r="O46" s="15">
        <v>1.1</v>
      </c>
      <c r="P46" s="15">
        <v>2.2</v>
      </c>
      <c r="Q46" s="15">
        <v>220</v>
      </c>
      <c r="R46"/>
      <c r="S46"/>
      <c r="T46"/>
      <c r="U46"/>
      <c r="V46"/>
      <c r="W46"/>
      <c r="X46"/>
      <c r="Y46"/>
      <c r="Z46"/>
      <c r="AA46"/>
      <c r="AB46"/>
    </row>
    <row r="47" s="7" customFormat="1" customHeight="1" spans="1:28">
      <c r="A47" s="8" t="s">
        <v>660</v>
      </c>
      <c r="B47" s="8" t="str">
        <f>_xlfn.DISPIMG("ID_19DE118AB2AD4F82B5E51E464B0DA1A8",1)</f>
        <v>=DISPIMG("ID_19DE118AB2AD4F82B5E51E464B0DA1A8",1)</v>
      </c>
      <c r="C47" s="9">
        <v>1.6</v>
      </c>
      <c r="D47" s="9">
        <v>1.4</v>
      </c>
      <c r="E47" s="9">
        <v>1</v>
      </c>
      <c r="F47" s="9">
        <v>1.2</v>
      </c>
      <c r="G47" s="9">
        <v>5</v>
      </c>
      <c r="H47" s="9">
        <v>4.7</v>
      </c>
      <c r="I47" s="9">
        <v>4.9</v>
      </c>
      <c r="J47" s="9">
        <v>4.9</v>
      </c>
      <c r="K47" s="9">
        <v>9</v>
      </c>
      <c r="L47" s="9">
        <v>15</v>
      </c>
      <c r="M47" s="9">
        <v>13</v>
      </c>
      <c r="N47" s="9">
        <v>23</v>
      </c>
      <c r="O47" s="9">
        <v>0.4</v>
      </c>
      <c r="P47" s="9">
        <v>1.7</v>
      </c>
      <c r="Q47" s="9">
        <v>220</v>
      </c>
      <c r="R47"/>
      <c r="S47"/>
      <c r="T47"/>
      <c r="U47"/>
      <c r="V47"/>
      <c r="W47"/>
      <c r="X47"/>
      <c r="Y47"/>
      <c r="Z47"/>
      <c r="AA47"/>
      <c r="AB47"/>
    </row>
    <row r="48" s="7" customFormat="1" customHeight="1" spans="1:28">
      <c r="A48" s="10" t="s">
        <v>661</v>
      </c>
      <c r="B48" s="10" t="str">
        <f>_xlfn.DISPIMG("ID_94404DD31F72496B9BE7C93BF0BB6E1D",1)</f>
        <v>=DISPIMG("ID_94404DD31F72496B9BE7C93BF0BB6E1D",1)</v>
      </c>
      <c r="C48" s="11">
        <v>3.9</v>
      </c>
      <c r="D48" s="11">
        <v>3.9</v>
      </c>
      <c r="E48" s="11">
        <v>2.9</v>
      </c>
      <c r="F48" s="11">
        <v>2.9</v>
      </c>
      <c r="G48" s="11">
        <v>14.1</v>
      </c>
      <c r="H48" s="11">
        <v>13.3</v>
      </c>
      <c r="I48" s="11">
        <v>13.8</v>
      </c>
      <c r="J48" s="11">
        <v>13.8</v>
      </c>
      <c r="K48" s="11">
        <v>20</v>
      </c>
      <c r="L48" s="11">
        <v>35</v>
      </c>
      <c r="M48" s="11">
        <v>31</v>
      </c>
      <c r="N48" s="11">
        <v>53</v>
      </c>
      <c r="O48" s="11">
        <v>1.3</v>
      </c>
      <c r="P48" s="11">
        <v>3.6</v>
      </c>
      <c r="Q48" s="11">
        <v>220</v>
      </c>
      <c r="R48"/>
      <c r="S48"/>
      <c r="T48"/>
      <c r="U48"/>
      <c r="V48"/>
      <c r="W48"/>
      <c r="X48"/>
      <c r="Y48"/>
      <c r="Z48"/>
      <c r="AA48"/>
      <c r="AB48"/>
    </row>
    <row r="49" s="7" customFormat="1" customHeight="1" spans="1:28">
      <c r="A49" s="12" t="s">
        <v>662</v>
      </c>
      <c r="B49" s="12" t="str">
        <f>_xlfn.DISPIMG("ID_F273752EA9F24863AF19F074021B3AC9",1)</f>
        <v>=DISPIMG("ID_F273752EA9F24863AF19F074021B3AC9",1)</v>
      </c>
      <c r="C49" s="13">
        <v>0.8</v>
      </c>
      <c r="D49" s="13">
        <v>0.9</v>
      </c>
      <c r="E49" s="13">
        <v>0.9</v>
      </c>
      <c r="F49" s="13">
        <v>0.9</v>
      </c>
      <c r="G49" s="13">
        <v>3.5</v>
      </c>
      <c r="H49" s="13">
        <v>3.3</v>
      </c>
      <c r="I49" s="13">
        <v>3.4</v>
      </c>
      <c r="J49" s="13">
        <v>3.4</v>
      </c>
      <c r="K49" s="13">
        <v>7</v>
      </c>
      <c r="L49" s="13">
        <v>12</v>
      </c>
      <c r="M49" s="13">
        <v>10</v>
      </c>
      <c r="N49" s="13">
        <v>18</v>
      </c>
      <c r="O49" s="13">
        <v>0.3</v>
      </c>
      <c r="P49" s="13">
        <v>1.2</v>
      </c>
      <c r="Q49" s="13">
        <v>220</v>
      </c>
      <c r="R49"/>
      <c r="S49"/>
      <c r="T49"/>
      <c r="U49"/>
      <c r="V49"/>
      <c r="W49"/>
      <c r="X49"/>
      <c r="Y49"/>
      <c r="Z49"/>
      <c r="AA49"/>
      <c r="AB49"/>
    </row>
    <row r="50" s="7" customFormat="1" customHeight="1" spans="1:28">
      <c r="A50" s="14" t="s">
        <v>663</v>
      </c>
      <c r="B50" s="14" t="str">
        <f>_xlfn.DISPIMG("ID_78007BB7A2DF49F78B3EEAE422517B7D",1)</f>
        <v>=DISPIMG("ID_78007BB7A2DF49F78B3EEAE422517B7D",1)</v>
      </c>
      <c r="C50" s="15">
        <v>2.6</v>
      </c>
      <c r="D50" s="15">
        <v>2.6</v>
      </c>
      <c r="E50" s="15">
        <v>1.6</v>
      </c>
      <c r="F50" s="15">
        <v>1.9</v>
      </c>
      <c r="G50" s="15">
        <v>8.3</v>
      </c>
      <c r="H50" s="15">
        <v>7.7</v>
      </c>
      <c r="I50" s="15">
        <v>8.1</v>
      </c>
      <c r="J50" s="15">
        <v>8.1</v>
      </c>
      <c r="K50" s="15">
        <v>14</v>
      </c>
      <c r="L50" s="15">
        <v>23</v>
      </c>
      <c r="M50" s="15">
        <v>21</v>
      </c>
      <c r="N50" s="15">
        <v>36</v>
      </c>
      <c r="O50" s="15">
        <v>1.1</v>
      </c>
      <c r="P50" s="15">
        <v>2.6</v>
      </c>
      <c r="Q50" s="15">
        <v>230</v>
      </c>
      <c r="R50"/>
      <c r="S50"/>
      <c r="T50"/>
      <c r="U50"/>
      <c r="V50"/>
      <c r="W50"/>
      <c r="X50"/>
      <c r="Y50"/>
      <c r="Z50"/>
      <c r="AA50"/>
      <c r="AB50"/>
    </row>
    <row r="51" s="7" customFormat="1" customHeight="1" spans="1:28">
      <c r="A51" s="8" t="s">
        <v>664</v>
      </c>
      <c r="B51" s="8" t="str">
        <f>_xlfn.DISPIMG("ID_7792963C922F4F1584294CF71E9553A0",1)</f>
        <v>=DISPIMG("ID_7792963C922F4F1584294CF71E9553A0",1)</v>
      </c>
      <c r="C51" s="9">
        <v>0.7</v>
      </c>
      <c r="D51" s="9">
        <v>0.7</v>
      </c>
      <c r="E51" s="9">
        <v>0.7</v>
      </c>
      <c r="F51" s="9">
        <v>0.7</v>
      </c>
      <c r="G51" s="9">
        <v>4.2</v>
      </c>
      <c r="H51" s="9">
        <v>4.8</v>
      </c>
      <c r="I51" s="9">
        <v>3.6</v>
      </c>
      <c r="J51" s="9">
        <v>4</v>
      </c>
      <c r="K51" s="9">
        <v>9</v>
      </c>
      <c r="L51" s="9">
        <v>14</v>
      </c>
      <c r="M51" s="9">
        <v>15</v>
      </c>
      <c r="N51" s="9">
        <v>21</v>
      </c>
      <c r="O51" s="9">
        <v>0</v>
      </c>
      <c r="P51" s="9">
        <v>1.1</v>
      </c>
      <c r="Q51" s="9">
        <v>200</v>
      </c>
      <c r="R51"/>
      <c r="S51"/>
      <c r="T51"/>
      <c r="U51"/>
      <c r="V51"/>
      <c r="W51"/>
      <c r="X51"/>
      <c r="Y51"/>
      <c r="Z51"/>
      <c r="AA51"/>
      <c r="AB51"/>
    </row>
    <row r="52" s="7" customFormat="1" customHeight="1" spans="1:28">
      <c r="A52" s="10" t="s">
        <v>665</v>
      </c>
      <c r="B52" s="10" t="str">
        <f>_xlfn.DISPIMG("ID_19897BCCACC54326A4B00E5867E7D570",1)</f>
        <v>=DISPIMG("ID_19897BCCACC54326A4B00E5867E7D570",1)</v>
      </c>
      <c r="C52" s="11">
        <v>4.4</v>
      </c>
      <c r="D52" s="11">
        <v>3.7</v>
      </c>
      <c r="E52" s="11">
        <v>3.7</v>
      </c>
      <c r="F52" s="11">
        <v>3.7</v>
      </c>
      <c r="G52" s="11">
        <v>12</v>
      </c>
      <c r="H52" s="11">
        <v>13.1</v>
      </c>
      <c r="I52" s="11">
        <v>12</v>
      </c>
      <c r="J52" s="11">
        <v>14.1</v>
      </c>
      <c r="K52" s="11">
        <v>22</v>
      </c>
      <c r="L52" s="11">
        <v>50</v>
      </c>
      <c r="M52" s="11">
        <v>43</v>
      </c>
      <c r="N52" s="11">
        <v>74</v>
      </c>
      <c r="O52" s="11">
        <v>0.9</v>
      </c>
      <c r="P52" s="11">
        <v>4.2</v>
      </c>
      <c r="Q52" s="11">
        <v>230</v>
      </c>
      <c r="R52"/>
      <c r="S52"/>
      <c r="T52"/>
      <c r="U52"/>
      <c r="V52"/>
      <c r="W52"/>
      <c r="X52"/>
      <c r="Y52"/>
      <c r="Z52"/>
      <c r="AA52"/>
      <c r="AB52"/>
    </row>
    <row r="53" s="7" customFormat="1" customHeight="1" spans="1:28">
      <c r="A53" s="12" t="s">
        <v>666</v>
      </c>
      <c r="B53" s="12" t="str">
        <f>_xlfn.DISPIMG("ID_62FE76D5A99C461EA6A0B96AD7966C32",1)</f>
        <v>=DISPIMG("ID_62FE76D5A99C461EA6A0B96AD7966C32",1)</v>
      </c>
      <c r="C53" s="13">
        <v>1.4</v>
      </c>
      <c r="D53" s="13">
        <v>1.4</v>
      </c>
      <c r="E53" s="13">
        <v>1.2</v>
      </c>
      <c r="F53" s="13">
        <v>1.2</v>
      </c>
      <c r="G53" s="13">
        <v>3.5</v>
      </c>
      <c r="H53" s="13">
        <v>3.6</v>
      </c>
      <c r="I53" s="13">
        <v>3.5</v>
      </c>
      <c r="J53" s="13">
        <v>3.6</v>
      </c>
      <c r="K53" s="13">
        <v>6</v>
      </c>
      <c r="L53" s="13">
        <v>14</v>
      </c>
      <c r="M53" s="13">
        <v>11</v>
      </c>
      <c r="N53" s="13">
        <v>22</v>
      </c>
      <c r="O53" s="13">
        <v>0.8</v>
      </c>
      <c r="P53" s="13">
        <v>1.5</v>
      </c>
      <c r="Q53" s="13">
        <v>230</v>
      </c>
      <c r="R53"/>
      <c r="S53"/>
      <c r="T53"/>
      <c r="U53"/>
      <c r="V53"/>
      <c r="W53"/>
      <c r="X53"/>
      <c r="Y53"/>
      <c r="Z53"/>
      <c r="AA53"/>
      <c r="AB53"/>
    </row>
    <row r="54" s="7" customFormat="1" customHeight="1" spans="1:28">
      <c r="A54" s="14" t="s">
        <v>667</v>
      </c>
      <c r="B54" s="14" t="str">
        <f>_xlfn.DISPIMG("ID_9D7113EE8D204FC0B3D7B8746FE95E7B",1)</f>
        <v>=DISPIMG("ID_9D7113EE8D204FC0B3D7B8746FE95E7B",1)</v>
      </c>
      <c r="C54" s="15">
        <v>2.7</v>
      </c>
      <c r="D54" s="15">
        <v>2.2</v>
      </c>
      <c r="E54" s="15">
        <v>2.2</v>
      </c>
      <c r="F54" s="15">
        <v>2.2</v>
      </c>
      <c r="G54" s="15">
        <v>7.1</v>
      </c>
      <c r="H54" s="15">
        <v>8.1</v>
      </c>
      <c r="I54" s="15">
        <v>7.5</v>
      </c>
      <c r="J54" s="15">
        <v>7.8</v>
      </c>
      <c r="K54" s="15">
        <v>14</v>
      </c>
      <c r="L54" s="15">
        <v>43</v>
      </c>
      <c r="M54" s="15">
        <v>26</v>
      </c>
      <c r="N54" s="15">
        <v>47</v>
      </c>
      <c r="O54" s="15">
        <v>1.2</v>
      </c>
      <c r="P54" s="15">
        <v>2.6</v>
      </c>
      <c r="Q54" s="15">
        <v>230</v>
      </c>
      <c r="R54"/>
      <c r="S54"/>
      <c r="T54"/>
      <c r="U54"/>
      <c r="V54"/>
      <c r="W54"/>
      <c r="X54"/>
      <c r="Y54"/>
      <c r="Z54"/>
      <c r="AA54"/>
      <c r="AB54"/>
    </row>
    <row r="55" s="7" customFormat="1" customHeight="1" spans="1:28">
      <c r="A55" s="8" t="s">
        <v>668</v>
      </c>
      <c r="B55" s="8" t="str">
        <f>_xlfn.DISPIMG("ID_C05A40C141B54105B41B0F7BAF52A369",1)</f>
        <v>=DISPIMG("ID_C05A40C141B54105B41B0F7BAF52A369",1)</v>
      </c>
      <c r="C55" s="9">
        <v>1</v>
      </c>
      <c r="D55" s="9">
        <v>0.9</v>
      </c>
      <c r="E55" s="9">
        <v>0.8</v>
      </c>
      <c r="F55" s="9">
        <v>0.9</v>
      </c>
      <c r="G55" s="9">
        <v>3.6</v>
      </c>
      <c r="H55" s="9">
        <v>2.8</v>
      </c>
      <c r="I55" s="9">
        <v>4.4</v>
      </c>
      <c r="J55" s="9">
        <v>-30</v>
      </c>
      <c r="K55" s="9">
        <v>6</v>
      </c>
      <c r="L55" s="9">
        <v>15</v>
      </c>
      <c r="M55" s="9">
        <v>10</v>
      </c>
      <c r="N55" s="9">
        <v>32</v>
      </c>
      <c r="O55" s="9">
        <v>0</v>
      </c>
      <c r="P55" s="9">
        <v>1.1</v>
      </c>
      <c r="Q55" s="9">
        <v>200</v>
      </c>
      <c r="R55"/>
      <c r="S55"/>
      <c r="T55"/>
      <c r="U55"/>
      <c r="V55"/>
      <c r="W55"/>
      <c r="X55"/>
      <c r="Y55"/>
      <c r="Z55"/>
      <c r="AA55"/>
      <c r="AB55"/>
    </row>
    <row r="56" s="7" customFormat="1" customHeight="1" spans="1:28">
      <c r="A56" s="10" t="s">
        <v>669</v>
      </c>
      <c r="B56" s="10" t="str">
        <f>_xlfn.DISPIMG("ID_3540157313554424BE677D9C6D32E979",1)</f>
        <v>=DISPIMG("ID_3540157313554424BE677D9C6D32E979",1)</v>
      </c>
      <c r="C56" s="11">
        <v>5.7</v>
      </c>
      <c r="D56" s="11">
        <v>7.1</v>
      </c>
      <c r="E56" s="11">
        <v>7.1</v>
      </c>
      <c r="F56" s="11">
        <v>8</v>
      </c>
      <c r="G56" s="11">
        <v>7.1</v>
      </c>
      <c r="H56" s="11">
        <v>11.9</v>
      </c>
      <c r="I56" s="11">
        <v>8.8</v>
      </c>
      <c r="J56" s="11">
        <v>12.4</v>
      </c>
      <c r="K56" s="11">
        <v>36</v>
      </c>
      <c r="L56" s="11">
        <v>54</v>
      </c>
      <c r="M56" s="11">
        <v>49</v>
      </c>
      <c r="N56" s="11">
        <v>42</v>
      </c>
      <c r="O56" s="11">
        <v>1.9</v>
      </c>
      <c r="P56" s="11">
        <v>5.1</v>
      </c>
      <c r="Q56" s="11">
        <v>250</v>
      </c>
      <c r="R56"/>
      <c r="S56"/>
      <c r="T56"/>
      <c r="U56"/>
      <c r="V56"/>
      <c r="W56"/>
      <c r="X56"/>
      <c r="Y56"/>
      <c r="Z56"/>
      <c r="AA56"/>
      <c r="AB56"/>
    </row>
    <row r="57" s="7" customFormat="1" customHeight="1" spans="1:28">
      <c r="A57" s="12" t="s">
        <v>670</v>
      </c>
      <c r="B57" s="12" t="str">
        <f>_xlfn.DISPIMG("ID_B7710E7497334C6ABAA3AABE5BEE63CD",1)</f>
        <v>=DISPIMG("ID_B7710E7497334C6ABAA3AABE5BEE63CD",1)</v>
      </c>
      <c r="C57" s="13">
        <v>0.8</v>
      </c>
      <c r="D57" s="13">
        <v>0.9</v>
      </c>
      <c r="E57" s="13">
        <v>1.1</v>
      </c>
      <c r="F57" s="13">
        <v>0.7</v>
      </c>
      <c r="G57" s="13">
        <v>3.1</v>
      </c>
      <c r="H57" s="13">
        <v>3.3</v>
      </c>
      <c r="I57" s="13">
        <v>2.9</v>
      </c>
      <c r="J57" s="13">
        <v>3.6</v>
      </c>
      <c r="K57" s="13">
        <v>9</v>
      </c>
      <c r="L57" s="13">
        <v>15</v>
      </c>
      <c r="M57" s="13">
        <v>11</v>
      </c>
      <c r="N57" s="13">
        <v>23</v>
      </c>
      <c r="O57" s="13">
        <v>0.2</v>
      </c>
      <c r="P57" s="13">
        <v>1.3</v>
      </c>
      <c r="Q57" s="13">
        <v>220</v>
      </c>
      <c r="R57"/>
      <c r="S57"/>
      <c r="T57"/>
      <c r="U57"/>
      <c r="V57"/>
      <c r="W57"/>
      <c r="X57"/>
      <c r="Y57"/>
      <c r="Z57"/>
      <c r="AA57"/>
      <c r="AB57"/>
    </row>
    <row r="58" s="7" customFormat="1" customHeight="1" spans="1:28">
      <c r="A58" s="14" t="s">
        <v>671</v>
      </c>
      <c r="B58" s="14" t="str">
        <f>_xlfn.DISPIMG("ID_A26609CAB3004EE38691633AE59083B5",1)</f>
        <v>=DISPIMG("ID_A26609CAB3004EE38691633AE59083B5",1)</v>
      </c>
      <c r="C58" s="15">
        <v>1.9</v>
      </c>
      <c r="D58" s="15">
        <v>2.6</v>
      </c>
      <c r="E58" s="15">
        <v>1.9</v>
      </c>
      <c r="F58" s="15">
        <v>1.9</v>
      </c>
      <c r="G58" s="15">
        <v>7.1</v>
      </c>
      <c r="H58" s="15">
        <v>7.6</v>
      </c>
      <c r="I58" s="15">
        <v>6.8</v>
      </c>
      <c r="J58" s="15">
        <v>8.3</v>
      </c>
      <c r="K58" s="15">
        <v>13</v>
      </c>
      <c r="L58" s="15">
        <v>24</v>
      </c>
      <c r="M58" s="15">
        <v>18</v>
      </c>
      <c r="N58" s="15">
        <v>40</v>
      </c>
      <c r="O58" s="15">
        <v>0.5</v>
      </c>
      <c r="P58" s="15">
        <v>2.1</v>
      </c>
      <c r="Q58" s="15">
        <v>220</v>
      </c>
      <c r="R58"/>
      <c r="S58"/>
      <c r="T58"/>
      <c r="U58"/>
      <c r="V58"/>
      <c r="W58"/>
      <c r="X58"/>
      <c r="Y58"/>
      <c r="Z58"/>
      <c r="AA58"/>
      <c r="AB58"/>
    </row>
    <row r="59" s="7" customFormat="1" customHeight="1" spans="1:28">
      <c r="A59" s="8" t="s">
        <v>672</v>
      </c>
      <c r="B59" s="8" t="str">
        <f>_xlfn.DISPIMG("ID_0AAC7052CDCA4425988090C7AF080027",1)</f>
        <v>=DISPIMG("ID_0AAC7052CDCA4425988090C7AF080027",1)</v>
      </c>
      <c r="C59" s="9">
        <v>1</v>
      </c>
      <c r="D59" s="9">
        <v>1</v>
      </c>
      <c r="E59" s="9">
        <v>1</v>
      </c>
      <c r="F59" s="9">
        <v>0.9</v>
      </c>
      <c r="G59" s="9">
        <v>4.4</v>
      </c>
      <c r="H59" s="9">
        <v>4</v>
      </c>
      <c r="I59" s="9">
        <v>4.2</v>
      </c>
      <c r="J59" s="9">
        <v>4.5</v>
      </c>
      <c r="K59" s="9">
        <v>11</v>
      </c>
      <c r="L59" s="9">
        <v>18</v>
      </c>
      <c r="M59" s="9">
        <v>14</v>
      </c>
      <c r="N59" s="9">
        <v>30</v>
      </c>
      <c r="O59" s="9">
        <v>0.1</v>
      </c>
      <c r="P59" s="9">
        <v>1.4</v>
      </c>
      <c r="Q59" s="9">
        <v>210</v>
      </c>
      <c r="R59"/>
      <c r="S59"/>
      <c r="T59"/>
      <c r="U59"/>
      <c r="V59"/>
      <c r="W59"/>
      <c r="X59"/>
      <c r="Y59"/>
      <c r="Z59"/>
      <c r="AA59"/>
      <c r="AB59"/>
    </row>
    <row r="60" s="7" customFormat="1" customHeight="1" spans="1:28">
      <c r="A60" s="10" t="s">
        <v>673</v>
      </c>
      <c r="B60" s="10" t="str">
        <f>_xlfn.DISPIMG("ID_D0DB57D6094D47C39BC6578AD317C9F7",1)</f>
        <v>=DISPIMG("ID_D0DB57D6094D47C39BC6578AD317C9F7",1)</v>
      </c>
      <c r="C60" s="11">
        <v>4.5</v>
      </c>
      <c r="D60" s="11">
        <v>4.5</v>
      </c>
      <c r="E60" s="11">
        <v>4.5</v>
      </c>
      <c r="F60" s="11">
        <v>3.8</v>
      </c>
      <c r="G60" s="11">
        <v>13.1</v>
      </c>
      <c r="H60" s="11">
        <v>12.4</v>
      </c>
      <c r="I60" s="11">
        <v>12.6</v>
      </c>
      <c r="J60" s="11">
        <v>13.1</v>
      </c>
      <c r="K60" s="11">
        <v>25</v>
      </c>
      <c r="L60" s="11">
        <v>40</v>
      </c>
      <c r="M60" s="11">
        <v>33</v>
      </c>
      <c r="N60" s="11">
        <v>71</v>
      </c>
      <c r="O60" s="11">
        <v>1.7</v>
      </c>
      <c r="P60" s="11">
        <v>4.1</v>
      </c>
      <c r="Q60" s="11">
        <v>230</v>
      </c>
      <c r="R60"/>
      <c r="S60"/>
      <c r="T60"/>
      <c r="U60"/>
      <c r="V60"/>
      <c r="W60"/>
      <c r="X60"/>
      <c r="Y60"/>
      <c r="Z60"/>
      <c r="AA60"/>
      <c r="AB60"/>
    </row>
    <row r="61" s="7" customFormat="1" customHeight="1" spans="1:28">
      <c r="A61" s="12" t="s">
        <v>674</v>
      </c>
      <c r="B61" s="12" t="str">
        <f>_xlfn.DISPIMG("ID_0E9A69A2F5D14C15B7A8D4319BCAB879",1)</f>
        <v>=DISPIMG("ID_0E9A69A2F5D14C15B7A8D4319BCAB879",1)</v>
      </c>
      <c r="C61" s="13">
        <v>1.3</v>
      </c>
      <c r="D61" s="13">
        <v>1.3</v>
      </c>
      <c r="E61" s="13">
        <v>1.3</v>
      </c>
      <c r="F61" s="13">
        <v>1.1</v>
      </c>
      <c r="G61" s="13">
        <v>3.5</v>
      </c>
      <c r="H61" s="13">
        <v>3.3</v>
      </c>
      <c r="I61" s="13">
        <v>3.4</v>
      </c>
      <c r="J61" s="13">
        <v>3.5</v>
      </c>
      <c r="K61" s="13">
        <v>8</v>
      </c>
      <c r="L61" s="13">
        <v>13</v>
      </c>
      <c r="M61" s="13">
        <v>10</v>
      </c>
      <c r="N61" s="13">
        <v>23</v>
      </c>
      <c r="O61" s="13">
        <v>0.6</v>
      </c>
      <c r="P61" s="13">
        <v>1.3</v>
      </c>
      <c r="Q61" s="13">
        <v>230</v>
      </c>
      <c r="R61"/>
      <c r="S61"/>
      <c r="T61"/>
      <c r="U61"/>
      <c r="V61"/>
      <c r="W61"/>
      <c r="X61"/>
      <c r="Y61"/>
      <c r="Z61"/>
      <c r="AA61"/>
      <c r="AB61"/>
    </row>
    <row r="62" s="7" customFormat="1" customHeight="1" spans="1:28">
      <c r="A62" s="14" t="s">
        <v>675</v>
      </c>
      <c r="B62" s="14" t="str">
        <f>_xlfn.DISPIMG("ID_0805F078496E4877A14D2D6275F4DCD4",1)</f>
        <v>=DISPIMG("ID_0805F078496E4877A14D2D6275F4DCD4",1)</v>
      </c>
      <c r="C62" s="15">
        <v>3.4</v>
      </c>
      <c r="D62" s="15">
        <v>4.1</v>
      </c>
      <c r="E62" s="15">
        <v>3.4</v>
      </c>
      <c r="F62" s="15">
        <v>3.4</v>
      </c>
      <c r="G62" s="15">
        <v>6</v>
      </c>
      <c r="H62" s="15">
        <v>7.5</v>
      </c>
      <c r="I62" s="15">
        <v>7.6</v>
      </c>
      <c r="J62" s="15">
        <v>6.7</v>
      </c>
      <c r="K62" s="15">
        <v>22</v>
      </c>
      <c r="L62" s="15">
        <v>26</v>
      </c>
      <c r="M62" s="15">
        <v>31</v>
      </c>
      <c r="N62" s="15">
        <v>28</v>
      </c>
      <c r="O62" s="15">
        <v>1.3</v>
      </c>
      <c r="P62" s="15">
        <v>3.2</v>
      </c>
      <c r="Q62" s="15">
        <v>250</v>
      </c>
      <c r="R62"/>
      <c r="S62"/>
      <c r="T62"/>
      <c r="U62"/>
      <c r="V62"/>
      <c r="W62"/>
      <c r="X62"/>
      <c r="Y62"/>
      <c r="Z62"/>
      <c r="AA62"/>
      <c r="AB62"/>
    </row>
    <row r="63" s="7" customFormat="1" customHeight="1" spans="1:28">
      <c r="A63" s="8" t="s">
        <v>676</v>
      </c>
      <c r="B63" s="8" t="str">
        <f>_xlfn.DISPIMG("ID_20384E84D4D74856A7B7FE957775CD19",1)</f>
        <v>=DISPIMG("ID_20384E84D4D74856A7B7FE957775CD19",1)</v>
      </c>
      <c r="C63" s="9">
        <v>1.5</v>
      </c>
      <c r="D63" s="9">
        <v>1.5</v>
      </c>
      <c r="E63" s="9">
        <v>1.5</v>
      </c>
      <c r="F63" s="9">
        <v>1.3</v>
      </c>
      <c r="G63" s="9">
        <v>4.4</v>
      </c>
      <c r="H63" s="9">
        <v>5.1</v>
      </c>
      <c r="I63" s="9">
        <v>5</v>
      </c>
      <c r="J63" s="9">
        <v>4.6</v>
      </c>
      <c r="K63" s="9">
        <v>13</v>
      </c>
      <c r="L63" s="9">
        <v>27</v>
      </c>
      <c r="M63" s="9">
        <v>19</v>
      </c>
      <c r="N63" s="9">
        <v>26</v>
      </c>
      <c r="O63" s="9">
        <v>0.6</v>
      </c>
      <c r="P63" s="9">
        <v>1.8</v>
      </c>
      <c r="Q63" s="9">
        <v>230</v>
      </c>
      <c r="R63"/>
      <c r="S63"/>
      <c r="T63"/>
      <c r="U63"/>
      <c r="V63"/>
      <c r="W63"/>
      <c r="X63"/>
      <c r="Y63"/>
      <c r="Z63"/>
      <c r="AA63"/>
      <c r="AB63"/>
    </row>
    <row r="64" s="7" customFormat="1" customHeight="1" spans="1:28">
      <c r="A64" s="10" t="s">
        <v>677</v>
      </c>
      <c r="B64" s="10" t="str">
        <f>_xlfn.DISPIMG("ID_2F30E963F8F44354BCF4B8FC2ECD9BB5",1)</f>
        <v>=DISPIMG("ID_2F30E963F8F44354BCF4B8FC2ECD9BB5",1)</v>
      </c>
      <c r="C64" s="11">
        <v>3.8</v>
      </c>
      <c r="D64" s="11">
        <v>3.8</v>
      </c>
      <c r="E64" s="11">
        <v>3.8</v>
      </c>
      <c r="F64" s="11">
        <v>3.2</v>
      </c>
      <c r="G64" s="11">
        <v>11.7</v>
      </c>
      <c r="H64" s="11">
        <v>13.6</v>
      </c>
      <c r="I64" s="11">
        <v>13.3</v>
      </c>
      <c r="J64" s="11">
        <v>12.2</v>
      </c>
      <c r="K64" s="11">
        <v>31</v>
      </c>
      <c r="L64" s="11">
        <v>63</v>
      </c>
      <c r="M64" s="11">
        <v>44</v>
      </c>
      <c r="N64" s="11">
        <v>61</v>
      </c>
      <c r="O64" s="11">
        <v>1.1</v>
      </c>
      <c r="P64" s="11">
        <v>4.2</v>
      </c>
      <c r="Q64" s="11">
        <v>230</v>
      </c>
      <c r="R64"/>
      <c r="S64"/>
      <c r="T64"/>
      <c r="U64"/>
      <c r="V64"/>
      <c r="W64"/>
      <c r="X64"/>
      <c r="Y64"/>
      <c r="Z64"/>
      <c r="AA64"/>
      <c r="AB64"/>
    </row>
    <row r="65" s="7" customFormat="1" customHeight="1" spans="1:28">
      <c r="A65" s="12" t="s">
        <v>678</v>
      </c>
      <c r="B65" s="12" t="str">
        <f>_xlfn.DISPIMG("ID_0295A77815C94608A7FC270BEDF53994",1)</f>
        <v>=DISPIMG("ID_0295A77815C94608A7FC270BEDF53994",1)</v>
      </c>
      <c r="C65" s="13">
        <v>0.8</v>
      </c>
      <c r="D65" s="13">
        <v>0.8</v>
      </c>
      <c r="E65" s="13">
        <v>0.8</v>
      </c>
      <c r="F65" s="13">
        <v>0.6</v>
      </c>
      <c r="G65" s="13">
        <v>2.7</v>
      </c>
      <c r="H65" s="13">
        <v>3.2</v>
      </c>
      <c r="I65" s="13">
        <v>3.1</v>
      </c>
      <c r="J65" s="13">
        <v>2.9</v>
      </c>
      <c r="K65" s="13">
        <v>10</v>
      </c>
      <c r="L65" s="13">
        <v>21</v>
      </c>
      <c r="M65" s="13">
        <v>15</v>
      </c>
      <c r="N65" s="13">
        <v>20</v>
      </c>
      <c r="O65" s="13">
        <v>0.1</v>
      </c>
      <c r="P65" s="13">
        <v>1.4</v>
      </c>
      <c r="Q65" s="13">
        <v>230</v>
      </c>
      <c r="R65"/>
      <c r="S65"/>
      <c r="T65"/>
      <c r="U65"/>
      <c r="V65"/>
      <c r="W65"/>
      <c r="X65"/>
      <c r="Y65"/>
      <c r="Z65"/>
      <c r="AA65"/>
      <c r="AB65"/>
    </row>
    <row r="66" s="7" customFormat="1" customHeight="1" spans="1:28">
      <c r="A66" s="14" t="s">
        <v>679</v>
      </c>
      <c r="B66" s="14" t="str">
        <f>_xlfn.DISPIMG("ID_2540EB0C0A414153B4E7CFF85E6D79A5",1)</f>
        <v>=DISPIMG("ID_2540EB0C0A414153B4E7CFF85E6D79A5",1)</v>
      </c>
      <c r="C66" s="15">
        <v>2.3</v>
      </c>
      <c r="D66" s="15">
        <v>2.3</v>
      </c>
      <c r="E66" s="15">
        <v>2.3</v>
      </c>
      <c r="F66" s="15">
        <v>2</v>
      </c>
      <c r="G66" s="15">
        <v>7</v>
      </c>
      <c r="H66" s="15">
        <v>8.1</v>
      </c>
      <c r="I66" s="15">
        <v>7.9</v>
      </c>
      <c r="J66" s="15">
        <v>7.3</v>
      </c>
      <c r="K66" s="15">
        <v>19</v>
      </c>
      <c r="L66" s="15">
        <v>39</v>
      </c>
      <c r="M66" s="15">
        <v>27</v>
      </c>
      <c r="N66" s="15">
        <v>38</v>
      </c>
      <c r="O66" s="15">
        <v>1</v>
      </c>
      <c r="P66" s="15">
        <v>2.6</v>
      </c>
      <c r="Q66" s="15">
        <v>230</v>
      </c>
      <c r="R66"/>
      <c r="S66"/>
      <c r="T66"/>
      <c r="U66"/>
      <c r="V66"/>
      <c r="W66"/>
      <c r="X66"/>
      <c r="Y66"/>
      <c r="Z66"/>
      <c r="AA66"/>
      <c r="AB66"/>
    </row>
    <row r="67" s="7" customFormat="1" customHeight="1" spans="1:28">
      <c r="A67" s="8" t="s">
        <v>680</v>
      </c>
      <c r="B67" s="8" t="str">
        <f>_xlfn.DISPIMG("ID_822FCAE606E24F8D83ABB0C18E709778",1)</f>
        <v>=DISPIMG("ID_822FCAE606E24F8D83ABB0C18E709778",1)</v>
      </c>
      <c r="C67" s="9">
        <v>3.7</v>
      </c>
      <c r="D67" s="9">
        <v>3.7</v>
      </c>
      <c r="E67" s="9">
        <v>3.7</v>
      </c>
      <c r="F67" s="9">
        <v>3.7</v>
      </c>
      <c r="G67" s="9">
        <v>3</v>
      </c>
      <c r="H67" s="9">
        <v>3.3</v>
      </c>
      <c r="I67" s="9">
        <v>2.4</v>
      </c>
      <c r="J67" s="9">
        <v>3</v>
      </c>
      <c r="K67" s="9">
        <v>22</v>
      </c>
      <c r="L67" s="9">
        <v>29</v>
      </c>
      <c r="M67" s="9">
        <v>27</v>
      </c>
      <c r="N67" s="9">
        <v>24</v>
      </c>
      <c r="O67" s="9">
        <v>2.5</v>
      </c>
      <c r="P67" s="9">
        <v>3.7</v>
      </c>
      <c r="Q67" s="9">
        <v>280</v>
      </c>
      <c r="R67"/>
      <c r="S67"/>
      <c r="T67"/>
      <c r="U67"/>
      <c r="V67"/>
      <c r="W67"/>
      <c r="X67"/>
      <c r="Y67"/>
      <c r="Z67"/>
      <c r="AA67"/>
      <c r="AB67"/>
    </row>
    <row r="68" s="7" customFormat="1" customHeight="1" spans="1:28">
      <c r="A68" s="10" t="s">
        <v>681</v>
      </c>
      <c r="B68" s="10" t="str">
        <f>_xlfn.DISPIMG("ID_0ABEA46A865D4B16A03F91340C3FC76B",1)</f>
        <v>=DISPIMG("ID_0ABEA46A865D4B16A03F91340C3FC76B",1)</v>
      </c>
      <c r="C68" s="17">
        <v>10.3</v>
      </c>
      <c r="D68" s="17">
        <v>10.8</v>
      </c>
      <c r="E68" s="17">
        <v>10.3</v>
      </c>
      <c r="F68" s="17">
        <v>10.3</v>
      </c>
      <c r="G68" s="17">
        <v>8.7</v>
      </c>
      <c r="H68" s="17">
        <v>9.4</v>
      </c>
      <c r="I68" s="17">
        <v>7</v>
      </c>
      <c r="J68" s="17">
        <v>8.7</v>
      </c>
      <c r="K68" s="17">
        <v>47</v>
      </c>
      <c r="L68" s="17">
        <v>64</v>
      </c>
      <c r="M68" s="17">
        <v>59</v>
      </c>
      <c r="N68" s="17">
        <v>52</v>
      </c>
      <c r="O68" s="17">
        <v>6.8</v>
      </c>
      <c r="P68" s="17">
        <v>8.3</v>
      </c>
      <c r="Q68" s="17">
        <v>280</v>
      </c>
      <c r="R68"/>
      <c r="S68"/>
      <c r="T68"/>
      <c r="U68"/>
      <c r="V68"/>
      <c r="W68"/>
      <c r="X68"/>
      <c r="Y68"/>
      <c r="Z68"/>
      <c r="AA68"/>
      <c r="AB68"/>
    </row>
    <row r="69" s="7" customFormat="1" customHeight="1" spans="1:28">
      <c r="A69" s="12" t="s">
        <v>682</v>
      </c>
      <c r="B69" s="12" t="str">
        <f>_xlfn.DISPIMG("ID_F45C4764CF934F5FB4BAE2093A36BFD6",1)</f>
        <v>=DISPIMG("ID_F45C4764CF934F5FB4BAE2093A36BFD6",1)</v>
      </c>
      <c r="C69" s="13">
        <v>2.1</v>
      </c>
      <c r="D69" s="13">
        <v>2.2</v>
      </c>
      <c r="E69" s="13">
        <v>2.1</v>
      </c>
      <c r="F69" s="13">
        <v>2.1</v>
      </c>
      <c r="G69" s="13">
        <v>1.5</v>
      </c>
      <c r="H69" s="13">
        <v>1.7</v>
      </c>
      <c r="I69" s="13">
        <v>1</v>
      </c>
      <c r="J69" s="13">
        <v>1.5</v>
      </c>
      <c r="K69" s="13">
        <v>16</v>
      </c>
      <c r="L69" s="13">
        <v>22</v>
      </c>
      <c r="M69" s="13">
        <v>21</v>
      </c>
      <c r="N69" s="13">
        <v>17</v>
      </c>
      <c r="O69" s="13">
        <v>0.8</v>
      </c>
      <c r="P69" s="13">
        <v>2</v>
      </c>
      <c r="Q69" s="13">
        <v>270</v>
      </c>
      <c r="R69"/>
      <c r="S69"/>
      <c r="T69"/>
      <c r="U69"/>
      <c r="V69"/>
      <c r="W69"/>
      <c r="X69"/>
      <c r="Y69"/>
      <c r="Z69"/>
      <c r="AA69"/>
      <c r="AB69"/>
    </row>
    <row r="70" s="7" customFormat="1" customHeight="1" spans="1:28">
      <c r="A70" s="14" t="s">
        <v>683</v>
      </c>
      <c r="B70" s="14" t="str">
        <f>_xlfn.DISPIMG("ID_134642D5DB804D4F871C8639D5918494",1)</f>
        <v>=DISPIMG("ID_134642D5DB804D4F871C8639D5918494",1)</v>
      </c>
      <c r="C70" s="15">
        <v>5.1</v>
      </c>
      <c r="D70" s="15">
        <v>5.5</v>
      </c>
      <c r="E70" s="15">
        <v>5.1</v>
      </c>
      <c r="F70" s="15">
        <v>5.1</v>
      </c>
      <c r="G70" s="15">
        <v>4.1</v>
      </c>
      <c r="H70" s="15">
        <v>4.6</v>
      </c>
      <c r="I70" s="15">
        <v>2.8</v>
      </c>
      <c r="J70" s="15">
        <v>4.1</v>
      </c>
      <c r="K70" s="15">
        <v>26</v>
      </c>
      <c r="L70" s="15">
        <v>38</v>
      </c>
      <c r="M70" s="15">
        <v>35</v>
      </c>
      <c r="N70" s="15">
        <v>29</v>
      </c>
      <c r="O70" s="15">
        <v>2.9</v>
      </c>
      <c r="P70" s="15">
        <v>4.7</v>
      </c>
      <c r="Q70" s="15">
        <v>270</v>
      </c>
      <c r="R70"/>
      <c r="S70"/>
      <c r="T70"/>
      <c r="U70"/>
      <c r="V70"/>
      <c r="W70"/>
      <c r="X70"/>
      <c r="Y70"/>
      <c r="Z70"/>
      <c r="AA70"/>
      <c r="AB70"/>
    </row>
    <row r="71" s="7" customFormat="1" customHeight="1" spans="1:28">
      <c r="A71" s="8" t="s">
        <v>684</v>
      </c>
      <c r="B71" s="8" t="str">
        <f>_xlfn.DISPIMG("ID_0CAF5E0519A140B49EA598E1522B7868",1)</f>
        <v>=DISPIMG("ID_0CAF5E0519A140B49EA598E1522B7868",1)</v>
      </c>
      <c r="C71" s="9">
        <v>1.9</v>
      </c>
      <c r="D71" s="9">
        <v>1.5</v>
      </c>
      <c r="E71" s="9">
        <v>1.9</v>
      </c>
      <c r="F71" s="9">
        <v>1.9</v>
      </c>
      <c r="G71" s="9">
        <v>4.3</v>
      </c>
      <c r="H71" s="9">
        <v>1.9</v>
      </c>
      <c r="I71" s="9">
        <v>2.3</v>
      </c>
      <c r="J71" s="9">
        <v>1.9</v>
      </c>
      <c r="K71" s="9">
        <v>25</v>
      </c>
      <c r="L71" s="9">
        <v>30</v>
      </c>
      <c r="M71" s="9">
        <v>15</v>
      </c>
      <c r="N71" s="9">
        <v>25</v>
      </c>
      <c r="O71" s="9">
        <v>0.6</v>
      </c>
      <c r="P71" s="9">
        <v>1.4</v>
      </c>
      <c r="Q71" s="9">
        <v>220</v>
      </c>
      <c r="R71"/>
      <c r="S71"/>
      <c r="T71"/>
      <c r="U71"/>
      <c r="V71"/>
      <c r="W71"/>
      <c r="X71"/>
      <c r="Y71"/>
      <c r="Z71"/>
      <c r="AA71"/>
      <c r="AB71"/>
    </row>
    <row r="72" s="7" customFormat="1" customHeight="1" spans="1:28">
      <c r="A72" s="10" t="s">
        <v>685</v>
      </c>
      <c r="B72" s="10" t="str">
        <f>_xlfn.DISPIMG("ID_2341101A5F69493FA11A7463E5409F3B",1)</f>
        <v>=DISPIMG("ID_2341101A5F69493FA11A7463E5409F3B",1)</v>
      </c>
      <c r="C72" s="11">
        <v>4.4</v>
      </c>
      <c r="D72" s="11">
        <v>3.1</v>
      </c>
      <c r="E72" s="11">
        <v>4.4</v>
      </c>
      <c r="F72" s="11">
        <v>4.4</v>
      </c>
      <c r="G72" s="11">
        <v>11.1</v>
      </c>
      <c r="H72" s="11">
        <v>4.4</v>
      </c>
      <c r="I72" s="11">
        <v>5.4</v>
      </c>
      <c r="J72" s="11">
        <v>4.4</v>
      </c>
      <c r="K72" s="11">
        <v>59</v>
      </c>
      <c r="L72" s="11">
        <v>71</v>
      </c>
      <c r="M72" s="11">
        <v>36</v>
      </c>
      <c r="N72" s="11">
        <v>60</v>
      </c>
      <c r="O72" s="11">
        <v>0.5</v>
      </c>
      <c r="P72" s="11">
        <v>3.5</v>
      </c>
      <c r="Q72" s="11">
        <v>220</v>
      </c>
      <c r="R72"/>
      <c r="S72"/>
      <c r="T72"/>
      <c r="U72"/>
      <c r="V72"/>
      <c r="W72"/>
      <c r="X72"/>
      <c r="Y72"/>
      <c r="Z72"/>
      <c r="AA72"/>
      <c r="AB72"/>
    </row>
    <row r="73" s="7" customFormat="1" customHeight="1" spans="1:28">
      <c r="A73" s="12" t="s">
        <v>686</v>
      </c>
      <c r="B73" s="12" t="str">
        <f>_xlfn.DISPIMG("ID_7DE891787EB548F3BDB92FCD83C802ED",1)</f>
        <v>=DISPIMG("ID_7DE891787EB548F3BDB92FCD83C802ED",1)</v>
      </c>
      <c r="C73" s="13">
        <v>0.8</v>
      </c>
      <c r="D73" s="13">
        <v>0.5</v>
      </c>
      <c r="E73" s="13">
        <v>0.8</v>
      </c>
      <c r="F73" s="13">
        <v>0.8</v>
      </c>
      <c r="G73" s="13">
        <v>2.5</v>
      </c>
      <c r="H73" s="13">
        <v>0.8</v>
      </c>
      <c r="I73" s="13">
        <v>1.1</v>
      </c>
      <c r="J73" s="13">
        <v>0.8</v>
      </c>
      <c r="K73" s="13">
        <v>21</v>
      </c>
      <c r="L73" s="13">
        <v>25</v>
      </c>
      <c r="M73" s="13">
        <v>13</v>
      </c>
      <c r="N73" s="13">
        <v>21</v>
      </c>
      <c r="O73" s="13">
        <v>0.2</v>
      </c>
      <c r="P73" s="13">
        <v>1.3</v>
      </c>
      <c r="Q73" s="13">
        <v>220</v>
      </c>
      <c r="R73"/>
      <c r="S73"/>
      <c r="T73"/>
      <c r="U73"/>
      <c r="V73"/>
      <c r="W73"/>
      <c r="X73"/>
      <c r="Y73"/>
      <c r="Z73"/>
      <c r="AA73"/>
      <c r="AB73"/>
    </row>
    <row r="74" s="7" customFormat="1" customHeight="1" spans="1:28">
      <c r="A74" s="14" t="s">
        <v>687</v>
      </c>
      <c r="B74" s="14" t="str">
        <f>_xlfn.DISPIMG("ID_6EC4623CE46C46FAB73127D21EDD59FA",1)</f>
        <v>=DISPIMG("ID_6EC4623CE46C46FAB73127D21EDD59FA",1)</v>
      </c>
      <c r="C74" s="15">
        <v>3.5</v>
      </c>
      <c r="D74" s="15">
        <v>2.9</v>
      </c>
      <c r="E74" s="15">
        <v>3.5</v>
      </c>
      <c r="F74" s="15">
        <v>4.8</v>
      </c>
      <c r="G74" s="15">
        <v>6.5</v>
      </c>
      <c r="H74" s="15">
        <v>5.3</v>
      </c>
      <c r="I74" s="15">
        <v>2.9</v>
      </c>
      <c r="J74" s="15">
        <v>2.9</v>
      </c>
      <c r="K74" s="15">
        <v>42</v>
      </c>
      <c r="L74" s="15">
        <v>31</v>
      </c>
      <c r="M74" s="15">
        <v>17</v>
      </c>
      <c r="N74" s="15">
        <v>22</v>
      </c>
      <c r="O74" s="15">
        <v>4.2</v>
      </c>
      <c r="P74" s="15">
        <v>4.4</v>
      </c>
      <c r="Q74" s="15">
        <v>270</v>
      </c>
      <c r="R74"/>
      <c r="S74"/>
      <c r="T74"/>
      <c r="U74"/>
      <c r="V74"/>
      <c r="W74"/>
      <c r="X74"/>
      <c r="Y74"/>
      <c r="Z74"/>
      <c r="AA74"/>
      <c r="AB74"/>
    </row>
    <row r="75" s="7" customFormat="1" customHeight="1" spans="1:28">
      <c r="A75" s="8" t="s">
        <v>688</v>
      </c>
      <c r="B75" s="8" t="str">
        <f>_xlfn.DISPIMG("ID_00FADF8945BA44A697D1584E57003495",1)</f>
        <v>=DISPIMG("ID_00FADF8945BA44A697D1584E57003495",1)</v>
      </c>
      <c r="C75" s="9">
        <v>1.9</v>
      </c>
      <c r="D75" s="9">
        <v>2.7</v>
      </c>
      <c r="E75" s="9">
        <v>2.2</v>
      </c>
      <c r="F75" s="9">
        <v>2.2</v>
      </c>
      <c r="G75" s="9">
        <v>3</v>
      </c>
      <c r="H75" s="9">
        <v>2.5</v>
      </c>
      <c r="I75" s="9">
        <v>2.5</v>
      </c>
      <c r="J75" s="9">
        <v>4.5</v>
      </c>
      <c r="K75" s="9">
        <v>16</v>
      </c>
      <c r="L75" s="9">
        <v>31</v>
      </c>
      <c r="M75" s="9">
        <v>20</v>
      </c>
      <c r="N75" s="9">
        <v>27</v>
      </c>
      <c r="O75" s="9">
        <v>1.1</v>
      </c>
      <c r="P75" s="9">
        <v>2.3</v>
      </c>
      <c r="Q75" s="9">
        <v>230</v>
      </c>
      <c r="R75"/>
      <c r="S75"/>
      <c r="T75"/>
      <c r="U75"/>
      <c r="V75"/>
      <c r="W75"/>
      <c r="X75"/>
      <c r="Y75"/>
      <c r="Z75"/>
      <c r="AA75"/>
      <c r="AB75"/>
    </row>
    <row r="76" s="7" customFormat="1" customHeight="1" spans="1:28">
      <c r="A76" s="10" t="s">
        <v>689</v>
      </c>
      <c r="B76" s="10" t="str">
        <f>_xlfn.DISPIMG("ID_ABF0E09782234C74841A59365678B581",1)</f>
        <v>=DISPIMG("ID_ABF0E09782234C74841A59365678B581",1)</v>
      </c>
      <c r="C76" s="11">
        <v>4.4</v>
      </c>
      <c r="D76" s="11">
        <v>6.8</v>
      </c>
      <c r="E76" s="11">
        <v>5.5</v>
      </c>
      <c r="F76" s="11">
        <v>5.5</v>
      </c>
      <c r="G76" s="11">
        <v>6.6</v>
      </c>
      <c r="H76" s="11">
        <v>5.2</v>
      </c>
      <c r="I76" s="11">
        <v>5.2</v>
      </c>
      <c r="J76" s="11">
        <v>10.9</v>
      </c>
      <c r="K76" s="11">
        <v>34</v>
      </c>
      <c r="L76" s="11">
        <v>68</v>
      </c>
      <c r="M76" s="11">
        <v>43</v>
      </c>
      <c r="N76" s="11">
        <v>60</v>
      </c>
      <c r="O76" s="11">
        <v>2.3</v>
      </c>
      <c r="P76" s="11">
        <v>4.2</v>
      </c>
      <c r="Q76" s="11">
        <v>230</v>
      </c>
      <c r="R76"/>
      <c r="S76"/>
      <c r="T76"/>
      <c r="U76"/>
      <c r="V76"/>
      <c r="W76"/>
      <c r="X76"/>
      <c r="Y76"/>
      <c r="Z76"/>
      <c r="AA76"/>
      <c r="AB76"/>
    </row>
    <row r="77" s="7" customFormat="1" customHeight="1" spans="1:28">
      <c r="A77" s="12" t="s">
        <v>690</v>
      </c>
      <c r="B77" s="12" t="str">
        <f>_xlfn.DISPIMG("ID_C8B020A781864547BC75E8B4BF99DDA6",1)</f>
        <v>=DISPIMG("ID_C8B020A781864547BC75E8B4BF99DDA6",1)</v>
      </c>
      <c r="C77" s="13">
        <v>0.9</v>
      </c>
      <c r="D77" s="13">
        <v>1.5</v>
      </c>
      <c r="E77" s="13">
        <v>1.1</v>
      </c>
      <c r="F77" s="13">
        <v>1.1</v>
      </c>
      <c r="G77" s="13">
        <v>1.2</v>
      </c>
      <c r="H77" s="13">
        <v>0.9</v>
      </c>
      <c r="I77" s="13">
        <v>0.9</v>
      </c>
      <c r="J77" s="13">
        <v>2.3</v>
      </c>
      <c r="K77" s="13">
        <v>11</v>
      </c>
      <c r="L77" s="13">
        <v>22</v>
      </c>
      <c r="M77" s="13">
        <v>14</v>
      </c>
      <c r="N77" s="13">
        <v>19</v>
      </c>
      <c r="O77" s="13">
        <v>0.8</v>
      </c>
      <c r="P77" s="13">
        <v>1.4</v>
      </c>
      <c r="Q77" s="13">
        <v>230</v>
      </c>
      <c r="R77"/>
      <c r="S77"/>
      <c r="T77"/>
      <c r="U77"/>
      <c r="V77"/>
      <c r="W77"/>
      <c r="X77"/>
      <c r="Y77"/>
      <c r="Z77"/>
      <c r="AA77"/>
      <c r="AB77"/>
    </row>
    <row r="78" s="7" customFormat="1" customHeight="1" spans="1:28">
      <c r="A78" s="14" t="s">
        <v>691</v>
      </c>
      <c r="B78" s="14" t="str">
        <f>_xlfn.DISPIMG("ID_68F3FD50398F41F48E9CB674F570BE10",1)</f>
        <v>=DISPIMG("ID_68F3FD50398F41F48E9CB674F570BE10",1)</v>
      </c>
      <c r="C78" s="15">
        <v>2.9</v>
      </c>
      <c r="D78" s="15">
        <v>4.2</v>
      </c>
      <c r="E78" s="15">
        <v>3.5</v>
      </c>
      <c r="F78" s="15">
        <v>3.5</v>
      </c>
      <c r="G78" s="15">
        <v>4.5</v>
      </c>
      <c r="H78" s="15">
        <v>3.7</v>
      </c>
      <c r="I78" s="15">
        <v>3.7</v>
      </c>
      <c r="J78" s="15">
        <v>7</v>
      </c>
      <c r="K78" s="15">
        <v>23</v>
      </c>
      <c r="L78" s="15">
        <v>44</v>
      </c>
      <c r="M78" s="15">
        <v>28</v>
      </c>
      <c r="N78" s="15">
        <v>39</v>
      </c>
      <c r="O78" s="15">
        <v>1.6</v>
      </c>
      <c r="P78" s="15">
        <v>2.9</v>
      </c>
      <c r="Q78" s="15">
        <v>230</v>
      </c>
      <c r="R78"/>
      <c r="S78"/>
      <c r="T78"/>
      <c r="U78"/>
      <c r="V78"/>
      <c r="W78"/>
      <c r="X78"/>
      <c r="Y78"/>
      <c r="Z78"/>
      <c r="AA78"/>
      <c r="AB78"/>
    </row>
    <row r="79" s="7" customFormat="1" customHeight="1" spans="1:28">
      <c r="A79" s="8" t="s">
        <v>692</v>
      </c>
      <c r="B79" s="8" t="str">
        <f>_xlfn.DISPIMG("ID_D34654FF7C534977B29E4821CDE1F305",1)</f>
        <v>=DISPIMG("ID_D34654FF7C534977B29E4821CDE1F305",1)</v>
      </c>
      <c r="C79" s="9">
        <v>1.9</v>
      </c>
      <c r="D79" s="9">
        <v>1.4</v>
      </c>
      <c r="E79" s="9">
        <v>1.4</v>
      </c>
      <c r="F79" s="9">
        <v>1.6</v>
      </c>
      <c r="G79" s="9">
        <v>5</v>
      </c>
      <c r="H79" s="9">
        <v>3.8</v>
      </c>
      <c r="I79" s="9">
        <v>4.9</v>
      </c>
      <c r="J79" s="9">
        <v>5</v>
      </c>
      <c r="K79" s="9">
        <v>18</v>
      </c>
      <c r="L79" s="9">
        <v>25</v>
      </c>
      <c r="M79" s="9">
        <v>12</v>
      </c>
      <c r="N79" s="9">
        <v>29</v>
      </c>
      <c r="O79" s="9">
        <v>0.5</v>
      </c>
      <c r="P79" s="9">
        <v>1.4</v>
      </c>
      <c r="Q79" s="9">
        <v>220</v>
      </c>
      <c r="R79"/>
      <c r="S79"/>
      <c r="T79"/>
      <c r="U79"/>
      <c r="V79"/>
      <c r="W79"/>
      <c r="X79"/>
      <c r="Y79"/>
      <c r="Z79"/>
      <c r="AA79"/>
      <c r="AB79"/>
    </row>
    <row r="80" s="7" customFormat="1" customHeight="1" spans="1:28">
      <c r="A80" s="10" t="s">
        <v>693</v>
      </c>
      <c r="B80" s="10" t="str">
        <f>_xlfn.DISPIMG("ID_8834E16A51FB47188A1D7B8224B00DCF",1)</f>
        <v>=DISPIMG("ID_8834E16A51FB47188A1D7B8224B00DCF",1)</v>
      </c>
      <c r="C80" s="11">
        <v>4.9</v>
      </c>
      <c r="D80" s="11">
        <v>7.3</v>
      </c>
      <c r="E80" s="11">
        <v>6</v>
      </c>
      <c r="F80" s="11">
        <v>4.2</v>
      </c>
      <c r="G80" s="11">
        <v>12.8</v>
      </c>
      <c r="H80" s="11">
        <v>12.3</v>
      </c>
      <c r="I80" s="11">
        <v>13.2</v>
      </c>
      <c r="J80" s="11">
        <v>13.2</v>
      </c>
      <c r="K80" s="11">
        <v>45</v>
      </c>
      <c r="L80" s="11">
        <v>61</v>
      </c>
      <c r="M80" s="11">
        <v>49</v>
      </c>
      <c r="N80" s="11">
        <v>68</v>
      </c>
      <c r="O80" s="11">
        <v>1.4</v>
      </c>
      <c r="P80" s="11">
        <v>6</v>
      </c>
      <c r="Q80" s="11">
        <v>260</v>
      </c>
      <c r="R80"/>
      <c r="S80"/>
      <c r="T80"/>
      <c r="U80"/>
      <c r="V80"/>
      <c r="W80"/>
      <c r="X80"/>
      <c r="Y80"/>
      <c r="Z80"/>
      <c r="AA80"/>
      <c r="AB80"/>
    </row>
    <row r="81" s="7" customFormat="1" customHeight="1" spans="1:28">
      <c r="A81" s="12" t="s">
        <v>694</v>
      </c>
      <c r="B81" s="12" t="str">
        <f>_xlfn.DISPIMG("ID_C80A29A624BC48B486CE91A7C49440B3",1)</f>
        <v>=DISPIMG("ID_C80A29A624BC48B486CE91A7C49440B3",1)</v>
      </c>
      <c r="C81" s="13">
        <v>1.1</v>
      </c>
      <c r="D81" s="13">
        <v>0.7</v>
      </c>
      <c r="E81" s="13">
        <v>0.7</v>
      </c>
      <c r="F81" s="13">
        <v>0.9</v>
      </c>
      <c r="G81" s="13">
        <v>2.8</v>
      </c>
      <c r="H81" s="13">
        <v>2.1</v>
      </c>
      <c r="I81" s="13">
        <v>2.8</v>
      </c>
      <c r="J81" s="13">
        <v>2.9</v>
      </c>
      <c r="K81" s="13">
        <v>17</v>
      </c>
      <c r="L81" s="13">
        <v>21</v>
      </c>
      <c r="M81" s="13">
        <v>11</v>
      </c>
      <c r="N81" s="13">
        <v>25</v>
      </c>
      <c r="O81" s="13">
        <v>0.5</v>
      </c>
      <c r="P81" s="13">
        <v>1.5</v>
      </c>
      <c r="Q81" s="13">
        <v>230</v>
      </c>
      <c r="R81"/>
      <c r="S81"/>
      <c r="T81"/>
      <c r="U81"/>
      <c r="V81"/>
      <c r="W81"/>
      <c r="X81"/>
      <c r="Y81"/>
      <c r="Z81"/>
      <c r="AA81"/>
      <c r="AB81"/>
    </row>
    <row r="82" s="7" customFormat="1" customHeight="1" spans="1:28">
      <c r="A82" s="14" t="s">
        <v>695</v>
      </c>
      <c r="B82" s="14" t="str">
        <f>_xlfn.DISPIMG("ID_972906DBE8424809BBB43D7987C7ABD9",1)</f>
        <v>=DISPIMG("ID_972906DBE8424809BBB43D7987C7ABD9",1)</v>
      </c>
      <c r="C82" s="15">
        <v>2.4</v>
      </c>
      <c r="D82" s="15">
        <v>1.6</v>
      </c>
      <c r="E82" s="15">
        <v>1.6</v>
      </c>
      <c r="F82" s="15">
        <v>1.9</v>
      </c>
      <c r="G82" s="15">
        <v>6.9</v>
      </c>
      <c r="H82" s="15">
        <v>5</v>
      </c>
      <c r="I82" s="15">
        <v>6.8</v>
      </c>
      <c r="J82" s="15">
        <v>7</v>
      </c>
      <c r="K82" s="15">
        <v>26</v>
      </c>
      <c r="L82" s="15">
        <v>36</v>
      </c>
      <c r="M82" s="15">
        <v>18</v>
      </c>
      <c r="N82" s="15">
        <v>42</v>
      </c>
      <c r="O82" s="15">
        <v>0.7</v>
      </c>
      <c r="P82" s="15">
        <v>2.1</v>
      </c>
      <c r="Q82" s="15">
        <v>220</v>
      </c>
      <c r="R82"/>
      <c r="S82"/>
      <c r="T82"/>
      <c r="U82"/>
      <c r="V82"/>
      <c r="W82"/>
      <c r="X82"/>
      <c r="Y82"/>
      <c r="Z82"/>
      <c r="AA82"/>
      <c r="AB82"/>
    </row>
    <row r="83" s="7" customFormat="1" customHeight="1" spans="1:28">
      <c r="A83" s="8" t="s">
        <v>696</v>
      </c>
      <c r="B83" s="8" t="str">
        <f>_xlfn.DISPIMG("ID_C24A6FAECC8F403B8D33BDC29A6597FA",1)</f>
        <v>=DISPIMG("ID_C24A6FAECC8F403B8D33BDC29A6597FA",1)</v>
      </c>
      <c r="C83" s="9">
        <v>2.7</v>
      </c>
      <c r="D83" s="9">
        <v>2.2</v>
      </c>
      <c r="E83" s="9">
        <v>2.7</v>
      </c>
      <c r="F83" s="9">
        <v>2.7</v>
      </c>
      <c r="G83" s="9">
        <v>3.6</v>
      </c>
      <c r="H83" s="9">
        <v>3.9</v>
      </c>
      <c r="I83" s="9">
        <v>4.1</v>
      </c>
      <c r="J83" s="9">
        <v>3.6</v>
      </c>
      <c r="K83" s="9">
        <v>17</v>
      </c>
      <c r="L83" s="9">
        <v>26</v>
      </c>
      <c r="M83" s="9">
        <v>24</v>
      </c>
      <c r="N83" s="9">
        <v>20</v>
      </c>
      <c r="O83" s="9">
        <v>1.4</v>
      </c>
      <c r="P83" s="9">
        <v>2.3</v>
      </c>
      <c r="Q83" s="9">
        <v>250</v>
      </c>
      <c r="R83"/>
      <c r="S83"/>
      <c r="T83"/>
      <c r="U83"/>
      <c r="V83"/>
      <c r="W83"/>
      <c r="X83"/>
      <c r="Y83"/>
      <c r="Z83"/>
      <c r="AA83"/>
      <c r="AB83"/>
    </row>
    <row r="84" s="7" customFormat="1" customHeight="1" spans="1:28">
      <c r="A84" s="10" t="s">
        <v>697</v>
      </c>
      <c r="B84" s="10" t="str">
        <f>_xlfn.DISPIMG("ID_44D1250347F84E7397375D7BDDCBCF28",1)</f>
        <v>=DISPIMG("ID_44D1250347F84E7397375D7BDDCBCF28",1)</v>
      </c>
      <c r="C84" s="11">
        <v>6.8</v>
      </c>
      <c r="D84" s="11">
        <v>6.8</v>
      </c>
      <c r="E84" s="11">
        <v>6.8</v>
      </c>
      <c r="F84" s="11">
        <v>6.8</v>
      </c>
      <c r="G84" s="11">
        <v>8.3</v>
      </c>
      <c r="H84" s="11">
        <v>9</v>
      </c>
      <c r="I84" s="11">
        <v>9.7</v>
      </c>
      <c r="J84" s="11">
        <v>8.3</v>
      </c>
      <c r="K84" s="11">
        <v>36</v>
      </c>
      <c r="L84" s="11">
        <v>58</v>
      </c>
      <c r="M84" s="11">
        <v>58</v>
      </c>
      <c r="N84" s="11">
        <v>43</v>
      </c>
      <c r="O84" s="11">
        <v>3.3</v>
      </c>
      <c r="P84" s="11">
        <v>5.4</v>
      </c>
      <c r="Q84" s="11">
        <v>250</v>
      </c>
      <c r="R84"/>
      <c r="S84"/>
      <c r="T84"/>
      <c r="U84"/>
      <c r="V84"/>
      <c r="W84"/>
      <c r="X84"/>
      <c r="Y84"/>
      <c r="Z84"/>
      <c r="AA84"/>
      <c r="AB84"/>
    </row>
    <row r="85" s="7" customFormat="1" customHeight="1" spans="1:28">
      <c r="A85" s="12" t="s">
        <v>698</v>
      </c>
      <c r="B85" s="12" t="str">
        <f>_xlfn.DISPIMG("ID_904A1D6C204B42A2B01F93228F31EB99",1)</f>
        <v>=DISPIMG("ID_904A1D6C204B42A2B01F93228F31EB99",1)</v>
      </c>
      <c r="C85" s="13">
        <v>1.4</v>
      </c>
      <c r="D85" s="13">
        <v>1.4</v>
      </c>
      <c r="E85" s="13">
        <v>1.4</v>
      </c>
      <c r="F85" s="13">
        <v>1.4</v>
      </c>
      <c r="G85" s="13">
        <v>1.9</v>
      </c>
      <c r="H85" s="13">
        <v>2.1</v>
      </c>
      <c r="I85" s="13">
        <v>2.3</v>
      </c>
      <c r="J85" s="13">
        <v>1.9</v>
      </c>
      <c r="K85" s="13">
        <v>11</v>
      </c>
      <c r="L85" s="13">
        <v>18</v>
      </c>
      <c r="M85" s="13">
        <v>17</v>
      </c>
      <c r="N85" s="13">
        <v>13</v>
      </c>
      <c r="O85" s="13">
        <v>0.1</v>
      </c>
      <c r="P85" s="13">
        <v>1.5</v>
      </c>
      <c r="Q85" s="13">
        <v>230</v>
      </c>
      <c r="R85"/>
      <c r="S85"/>
      <c r="T85"/>
      <c r="U85"/>
      <c r="V85"/>
      <c r="W85"/>
      <c r="X85"/>
      <c r="Y85"/>
      <c r="Z85"/>
      <c r="AA85"/>
      <c r="AB85"/>
    </row>
    <row r="86" s="7" customFormat="1" customHeight="1" spans="1:28">
      <c r="A86" s="14" t="s">
        <v>699</v>
      </c>
      <c r="B86" s="14" t="str">
        <f>_xlfn.DISPIMG("ID_C72693815FE14F79A11D4B7E361BA41E",1)</f>
        <v>=DISPIMG("ID_C72693815FE14F79A11D4B7E361BA41E",1)</v>
      </c>
      <c r="C86" s="15">
        <v>4.2</v>
      </c>
      <c r="D86" s="15">
        <v>4.2</v>
      </c>
      <c r="E86" s="15">
        <v>4.2</v>
      </c>
      <c r="F86" s="15">
        <v>4.2</v>
      </c>
      <c r="G86" s="15">
        <v>5.5</v>
      </c>
      <c r="H86" s="15">
        <v>5.9</v>
      </c>
      <c r="I86" s="15">
        <v>6.3</v>
      </c>
      <c r="J86" s="15">
        <v>5.5</v>
      </c>
      <c r="K86" s="15">
        <v>24</v>
      </c>
      <c r="L86" s="15">
        <v>37</v>
      </c>
      <c r="M86" s="15">
        <v>37</v>
      </c>
      <c r="N86" s="15">
        <v>28</v>
      </c>
      <c r="O86" s="15">
        <v>2.8</v>
      </c>
      <c r="P86" s="15">
        <v>3.3</v>
      </c>
      <c r="Q86" s="15">
        <v>250</v>
      </c>
      <c r="R86"/>
      <c r="S86"/>
      <c r="T86"/>
      <c r="U86"/>
      <c r="V86"/>
      <c r="W86"/>
      <c r="X86"/>
      <c r="Y86"/>
      <c r="Z86"/>
      <c r="AA86"/>
      <c r="AB86"/>
    </row>
    <row r="87" s="7" customFormat="1" customHeight="1" spans="1:28">
      <c r="A87" s="8" t="s">
        <v>700</v>
      </c>
      <c r="B87" s="8" t="str">
        <f>_xlfn.DISPIMG("ID_73B6A87330E143CD8EEAF16CF8F538EE",1)</f>
        <v>=DISPIMG("ID_73B6A87330E143CD8EEAF16CF8F538EE",1)</v>
      </c>
      <c r="C87" s="9">
        <v>0.8</v>
      </c>
      <c r="D87" s="9">
        <v>0.9</v>
      </c>
      <c r="E87" s="9">
        <v>0.8</v>
      </c>
      <c r="F87" s="9">
        <v>1</v>
      </c>
      <c r="G87" s="9">
        <v>4.4</v>
      </c>
      <c r="H87" s="9">
        <v>4.3</v>
      </c>
      <c r="I87" s="9">
        <v>4.1</v>
      </c>
      <c r="J87" s="9">
        <v>3.9</v>
      </c>
      <c r="K87" s="9">
        <v>5</v>
      </c>
      <c r="L87" s="9">
        <v>16</v>
      </c>
      <c r="M87" s="9">
        <v>11</v>
      </c>
      <c r="N87" s="9">
        <v>30</v>
      </c>
      <c r="O87" s="9">
        <v>0.2</v>
      </c>
      <c r="P87" s="9">
        <v>1</v>
      </c>
      <c r="Q87" s="9">
        <v>200</v>
      </c>
      <c r="R87"/>
      <c r="S87"/>
      <c r="T87"/>
      <c r="U87"/>
      <c r="V87"/>
      <c r="W87"/>
      <c r="X87"/>
      <c r="Y87"/>
      <c r="Z87"/>
      <c r="AA87"/>
      <c r="AB87"/>
    </row>
    <row r="88" s="7" customFormat="1" customHeight="1" spans="1:28">
      <c r="A88" s="10" t="s">
        <v>701</v>
      </c>
      <c r="B88" s="10" t="str">
        <f>_xlfn.DISPIMG("ID_80BF28FC0277426CA14F617011AEDF4B",1)</f>
        <v>=DISPIMG("ID_80BF28FC0277426CA14F617011AEDF4B",1)</v>
      </c>
      <c r="C88" s="11">
        <v>7.7</v>
      </c>
      <c r="D88" s="11">
        <v>9.3</v>
      </c>
      <c r="E88" s="11">
        <v>7.7</v>
      </c>
      <c r="F88" s="11">
        <v>10</v>
      </c>
      <c r="G88" s="11">
        <v>11.1</v>
      </c>
      <c r="H88" s="11">
        <v>11.7</v>
      </c>
      <c r="I88" s="11">
        <v>11.1</v>
      </c>
      <c r="J88" s="11">
        <v>8.6</v>
      </c>
      <c r="K88" s="11">
        <v>38</v>
      </c>
      <c r="L88" s="11">
        <v>62</v>
      </c>
      <c r="M88" s="11">
        <v>61</v>
      </c>
      <c r="N88" s="11">
        <v>62</v>
      </c>
      <c r="O88" s="11">
        <v>3.7</v>
      </c>
      <c r="P88" s="11">
        <v>6.7</v>
      </c>
      <c r="Q88" s="11">
        <v>270</v>
      </c>
      <c r="R88"/>
      <c r="S88"/>
      <c r="T88"/>
      <c r="U88"/>
      <c r="V88"/>
      <c r="W88"/>
      <c r="X88"/>
      <c r="Y88"/>
      <c r="Z88"/>
      <c r="AA88"/>
      <c r="AB88"/>
    </row>
    <row r="89" s="7" customFormat="1" customHeight="1" spans="1:28">
      <c r="A89" s="12" t="s">
        <v>702</v>
      </c>
      <c r="B89" s="12" t="str">
        <f>_xlfn.DISPIMG("ID_4557B33D22A4448FABDB05BF8C6C142B",1)</f>
        <v>=DISPIMG("ID_4557B33D22A4448FABDB05BF8C6C142B",1)</v>
      </c>
      <c r="C89" s="13">
        <v>1.7</v>
      </c>
      <c r="D89" s="13">
        <v>2.1</v>
      </c>
      <c r="E89" s="13">
        <v>1.7</v>
      </c>
      <c r="F89" s="13">
        <v>2.3</v>
      </c>
      <c r="G89" s="13">
        <v>2.7</v>
      </c>
      <c r="H89" s="13">
        <v>2.8</v>
      </c>
      <c r="I89" s="13">
        <v>2.7</v>
      </c>
      <c r="J89" s="13">
        <v>1.9</v>
      </c>
      <c r="K89" s="13">
        <v>11</v>
      </c>
      <c r="L89" s="13">
        <v>19</v>
      </c>
      <c r="M89" s="13">
        <v>19</v>
      </c>
      <c r="N89" s="13">
        <v>19</v>
      </c>
      <c r="O89" s="13">
        <v>0.7</v>
      </c>
      <c r="P89" s="13">
        <v>2.1</v>
      </c>
      <c r="Q89" s="13">
        <v>260</v>
      </c>
      <c r="R89"/>
      <c r="S89"/>
      <c r="T89"/>
      <c r="U89"/>
      <c r="V89"/>
      <c r="W89"/>
      <c r="X89"/>
      <c r="Y89"/>
      <c r="Z89"/>
      <c r="AA89"/>
      <c r="AB89"/>
    </row>
    <row r="90" s="7" customFormat="1" customHeight="1" spans="1:28">
      <c r="A90" s="14" t="s">
        <v>703</v>
      </c>
      <c r="B90" s="14" t="str">
        <f>_xlfn.DISPIMG("ID_A3065B64A0074930B485A28EA4A472D1",1)</f>
        <v>=DISPIMG("ID_A3065B64A0074930B485A28EA4A472D1",1)</v>
      </c>
      <c r="C90" s="15">
        <v>4.2</v>
      </c>
      <c r="D90" s="15">
        <v>5.2</v>
      </c>
      <c r="E90" s="15">
        <v>4.2</v>
      </c>
      <c r="F90" s="15">
        <v>5.6</v>
      </c>
      <c r="G90" s="15">
        <v>6.4</v>
      </c>
      <c r="H90" s="15">
        <v>6.7</v>
      </c>
      <c r="I90" s="15">
        <v>6.4</v>
      </c>
      <c r="J90" s="15">
        <v>4.7</v>
      </c>
      <c r="K90" s="15">
        <v>21</v>
      </c>
      <c r="L90" s="15">
        <v>36</v>
      </c>
      <c r="M90" s="15">
        <v>35</v>
      </c>
      <c r="N90" s="15">
        <v>36</v>
      </c>
      <c r="O90" s="15">
        <v>1.5</v>
      </c>
      <c r="P90" s="15">
        <v>3.8</v>
      </c>
      <c r="Q90" s="15">
        <v>260</v>
      </c>
      <c r="R90"/>
      <c r="S90"/>
      <c r="T90"/>
      <c r="U90"/>
      <c r="V90"/>
      <c r="W90"/>
      <c r="X90"/>
      <c r="Y90"/>
      <c r="Z90"/>
      <c r="AA90"/>
      <c r="AB90"/>
    </row>
    <row r="91" s="7" customFormat="1" customHeight="1" spans="1:28">
      <c r="A91" s="8" t="s">
        <v>704</v>
      </c>
      <c r="B91" s="8" t="str">
        <f>_xlfn.DISPIMG("ID_0BE7120287554574BF5850AA76BC1FA7",1)</f>
        <v>=DISPIMG("ID_0BE7120287554574BF5850AA76BC1FA7",1)</v>
      </c>
      <c r="C91" s="16">
        <v>2.2</v>
      </c>
      <c r="D91" s="16">
        <v>2.5</v>
      </c>
      <c r="E91" s="16">
        <v>2.2</v>
      </c>
      <c r="F91" s="16">
        <v>2.2</v>
      </c>
      <c r="G91" s="16">
        <v>2.2</v>
      </c>
      <c r="H91" s="16">
        <v>2.5</v>
      </c>
      <c r="I91" s="16">
        <v>2.8</v>
      </c>
      <c r="J91" s="16">
        <v>2.2</v>
      </c>
      <c r="K91" s="16">
        <v>23</v>
      </c>
      <c r="L91" s="16">
        <v>26</v>
      </c>
      <c r="M91" s="16">
        <v>21</v>
      </c>
      <c r="N91" s="16">
        <v>17</v>
      </c>
      <c r="O91" s="16">
        <v>0.6</v>
      </c>
      <c r="P91" s="16">
        <v>2.1</v>
      </c>
      <c r="Q91" s="16">
        <v>250</v>
      </c>
      <c r="R91"/>
      <c r="S91"/>
      <c r="T91"/>
      <c r="U91"/>
      <c r="V91"/>
      <c r="W91"/>
      <c r="X91"/>
      <c r="Y91"/>
      <c r="Z91"/>
      <c r="AA91"/>
      <c r="AB91"/>
    </row>
    <row r="92" s="7" customFormat="1" customHeight="1" spans="1:28">
      <c r="A92" s="10" t="s">
        <v>705</v>
      </c>
      <c r="B92" s="10" t="str">
        <f>_xlfn.DISPIMG("ID_C474CB840A974396B07B7A7CD0AA2B31",1)</f>
        <v>=DISPIMG("ID_C474CB840A974396B07B7A7CD0AA2B31",1)</v>
      </c>
      <c r="C92" s="11">
        <v>8.7</v>
      </c>
      <c r="D92" s="11">
        <v>7.8</v>
      </c>
      <c r="E92" s="11">
        <v>9.4</v>
      </c>
      <c r="F92" s="11">
        <v>6.9</v>
      </c>
      <c r="G92" s="11">
        <v>8.6</v>
      </c>
      <c r="H92" s="11">
        <v>7.8</v>
      </c>
      <c r="I92" s="11">
        <v>10.4</v>
      </c>
      <c r="J92" s="11">
        <v>8.2</v>
      </c>
      <c r="K92" s="11">
        <v>46</v>
      </c>
      <c r="L92" s="11">
        <v>65</v>
      </c>
      <c r="M92" s="11">
        <v>55</v>
      </c>
      <c r="N92" s="11">
        <v>46</v>
      </c>
      <c r="O92" s="11">
        <v>5.2</v>
      </c>
      <c r="P92" s="11">
        <v>5.9</v>
      </c>
      <c r="Q92" s="11">
        <v>260</v>
      </c>
      <c r="R92"/>
      <c r="S92"/>
      <c r="T92"/>
      <c r="U92"/>
      <c r="V92"/>
      <c r="W92"/>
      <c r="X92"/>
      <c r="Y92"/>
      <c r="Z92"/>
      <c r="AA92"/>
      <c r="AB92"/>
    </row>
    <row r="93" s="7" customFormat="1" customHeight="1" spans="1:28">
      <c r="A93" s="12" t="s">
        <v>706</v>
      </c>
      <c r="B93" s="12" t="str">
        <f>_xlfn.DISPIMG("ID_926360DFBFC74DEE986D0C58238EF18D",1)</f>
        <v>=DISPIMG("ID_926360DFBFC74DEE986D0C58238EF18D",1)</v>
      </c>
      <c r="C93" s="13">
        <v>2.2</v>
      </c>
      <c r="D93" s="13">
        <v>2</v>
      </c>
      <c r="E93" s="13">
        <v>2.3</v>
      </c>
      <c r="F93" s="13">
        <v>1.8</v>
      </c>
      <c r="G93" s="13">
        <v>2.1</v>
      </c>
      <c r="H93" s="13">
        <v>1.9</v>
      </c>
      <c r="I93" s="13">
        <v>2.9</v>
      </c>
      <c r="J93" s="13">
        <v>2.3</v>
      </c>
      <c r="K93" s="13">
        <v>14</v>
      </c>
      <c r="L93" s="13">
        <v>20</v>
      </c>
      <c r="M93" s="13">
        <v>18</v>
      </c>
      <c r="N93" s="13">
        <v>14</v>
      </c>
      <c r="O93" s="13">
        <v>1.7</v>
      </c>
      <c r="P93" s="13">
        <v>2.3</v>
      </c>
      <c r="Q93" s="13">
        <v>270</v>
      </c>
      <c r="R93"/>
      <c r="S93"/>
      <c r="T93"/>
      <c r="U93"/>
      <c r="V93"/>
      <c r="W93"/>
      <c r="X93"/>
      <c r="Y93"/>
      <c r="Z93"/>
      <c r="AA93"/>
      <c r="AB93"/>
    </row>
    <row r="94" s="7" customFormat="1" customHeight="1" spans="1:28">
      <c r="A94" s="14" t="s">
        <v>707</v>
      </c>
      <c r="B94" s="14" t="str">
        <f>_xlfn.DISPIMG("ID_8B4E2D04EFEB4B9D887AF99DDC2BCD45",1)</f>
        <v>=DISPIMG("ID_8B4E2D04EFEB4B9D887AF99DDC2BCD45",1)</v>
      </c>
      <c r="C94" s="15">
        <v>4.8</v>
      </c>
      <c r="D94" s="15">
        <v>4.3</v>
      </c>
      <c r="E94" s="15">
        <v>5.2</v>
      </c>
      <c r="F94" s="15">
        <v>3.8</v>
      </c>
      <c r="G94" s="15">
        <v>4.8</v>
      </c>
      <c r="H94" s="15">
        <v>4.3</v>
      </c>
      <c r="I94" s="15">
        <v>5.6</v>
      </c>
      <c r="J94" s="15">
        <v>4.3</v>
      </c>
      <c r="K94" s="15">
        <v>25</v>
      </c>
      <c r="L94" s="15">
        <v>37</v>
      </c>
      <c r="M94" s="15">
        <v>31</v>
      </c>
      <c r="N94" s="15">
        <v>25</v>
      </c>
      <c r="O94" s="15">
        <v>2.3</v>
      </c>
      <c r="P94" s="15">
        <v>3.6</v>
      </c>
      <c r="Q94" s="15">
        <v>260</v>
      </c>
      <c r="R94"/>
      <c r="S94"/>
      <c r="T94"/>
      <c r="U94"/>
      <c r="V94"/>
      <c r="W94"/>
      <c r="X94"/>
      <c r="Y94"/>
      <c r="Z94"/>
      <c r="AA94"/>
      <c r="AB94"/>
    </row>
    <row r="95" s="7" customFormat="1" customHeight="1" spans="1:28">
      <c r="A95" s="8" t="s">
        <v>708</v>
      </c>
      <c r="B95" s="8" t="str">
        <f>_xlfn.DISPIMG("ID_FCE29A96E0414E17A585972A9C9E61B1",1)</f>
        <v>=DISPIMG("ID_FCE29A96E0414E17A585972A9C9E61B1",1)</v>
      </c>
      <c r="C95" s="9">
        <v>4.2</v>
      </c>
      <c r="D95" s="9">
        <v>4</v>
      </c>
      <c r="E95" s="9">
        <v>4.4</v>
      </c>
      <c r="F95" s="9">
        <v>4.5</v>
      </c>
      <c r="G95" s="9">
        <v>3.4</v>
      </c>
      <c r="H95" s="9">
        <v>3.1</v>
      </c>
      <c r="I95" s="9">
        <v>2.5</v>
      </c>
      <c r="J95" s="9">
        <v>2.8</v>
      </c>
      <c r="K95" s="9">
        <v>21</v>
      </c>
      <c r="L95" s="9">
        <v>14</v>
      </c>
      <c r="M95" s="9">
        <v>21</v>
      </c>
      <c r="N95" s="9">
        <v>10</v>
      </c>
      <c r="O95" s="9">
        <v>3</v>
      </c>
      <c r="P95" s="9">
        <v>3.7</v>
      </c>
      <c r="Q95" s="9">
        <v>360</v>
      </c>
      <c r="R95"/>
      <c r="S95"/>
      <c r="T95"/>
      <c r="U95"/>
      <c r="V95"/>
      <c r="W95"/>
      <c r="X95"/>
      <c r="Y95"/>
      <c r="Z95"/>
      <c r="AA95"/>
      <c r="AB95"/>
    </row>
    <row r="96" s="7" customFormat="1" customHeight="1" spans="1:28">
      <c r="A96" s="10" t="s">
        <v>709</v>
      </c>
      <c r="B96" s="10" t="str">
        <f>_xlfn.DISPIMG("ID_D483B9D989E241F7AA653EDFD4B91FA0",1)</f>
        <v>=DISPIMG("ID_D483B9D989E241F7AA653EDFD4B91FA0",1)</v>
      </c>
      <c r="C96" s="11">
        <v>7.1</v>
      </c>
      <c r="D96" s="11">
        <v>10.2</v>
      </c>
      <c r="E96" s="11">
        <v>8</v>
      </c>
      <c r="F96" s="11">
        <v>9.5</v>
      </c>
      <c r="G96" s="11">
        <v>10.2</v>
      </c>
      <c r="H96" s="11">
        <v>8.8</v>
      </c>
      <c r="I96" s="11">
        <v>10.9</v>
      </c>
      <c r="J96" s="11">
        <v>8.8</v>
      </c>
      <c r="K96" s="11">
        <v>37</v>
      </c>
      <c r="L96" s="11">
        <v>59</v>
      </c>
      <c r="M96" s="11">
        <v>65</v>
      </c>
      <c r="N96" s="11">
        <v>48</v>
      </c>
      <c r="O96" s="11">
        <v>2.7</v>
      </c>
      <c r="P96" s="11">
        <v>5.6</v>
      </c>
      <c r="Q96" s="11">
        <v>260</v>
      </c>
      <c r="R96"/>
      <c r="S96"/>
      <c r="T96"/>
      <c r="U96"/>
      <c r="V96"/>
      <c r="W96"/>
      <c r="X96"/>
      <c r="Y96"/>
      <c r="Z96"/>
      <c r="AA96"/>
      <c r="AB96"/>
    </row>
    <row r="97" s="7" customFormat="1" customHeight="1" spans="1:28">
      <c r="A97" s="12" t="s">
        <v>710</v>
      </c>
      <c r="B97" s="12" t="str">
        <f>_xlfn.DISPIMG("ID_867EB28031C94C88BB99BFD72D8FCBF1",1)</f>
        <v>=DISPIMG("ID_867EB28031C94C88BB99BFD72D8FCBF1",1)</v>
      </c>
      <c r="C97" s="13">
        <v>1.7</v>
      </c>
      <c r="D97" s="13">
        <v>2.5</v>
      </c>
      <c r="E97" s="13">
        <v>1.9</v>
      </c>
      <c r="F97" s="13">
        <v>2.3</v>
      </c>
      <c r="G97" s="13">
        <v>2.5</v>
      </c>
      <c r="H97" s="13">
        <v>2.1</v>
      </c>
      <c r="I97" s="13">
        <v>2.7</v>
      </c>
      <c r="J97" s="13">
        <v>2.1</v>
      </c>
      <c r="K97" s="13">
        <v>12</v>
      </c>
      <c r="L97" s="13">
        <v>20</v>
      </c>
      <c r="M97" s="13">
        <v>22</v>
      </c>
      <c r="N97" s="13">
        <v>16</v>
      </c>
      <c r="O97" s="13">
        <v>0.6</v>
      </c>
      <c r="P97" s="13">
        <v>1.7</v>
      </c>
      <c r="Q97" s="13">
        <v>260</v>
      </c>
      <c r="R97"/>
      <c r="S97"/>
      <c r="T97"/>
      <c r="U97"/>
      <c r="V97"/>
      <c r="W97"/>
      <c r="X97"/>
      <c r="Y97"/>
      <c r="Z97"/>
      <c r="AA97"/>
      <c r="AB97"/>
    </row>
    <row r="98" s="7" customFormat="1" customHeight="1" spans="1:28">
      <c r="A98" s="14" t="s">
        <v>711</v>
      </c>
      <c r="B98" s="14" t="str">
        <f>_xlfn.DISPIMG("ID_41D1B0730BAF44358174FEDFE202D286",1)</f>
        <v>=DISPIMG("ID_41D1B0730BAF44358174FEDFE202D286",1)</v>
      </c>
      <c r="C98" s="15">
        <v>4</v>
      </c>
      <c r="D98" s="15">
        <v>5.8</v>
      </c>
      <c r="E98" s="15">
        <v>4.5</v>
      </c>
      <c r="F98" s="15">
        <v>5.4</v>
      </c>
      <c r="G98" s="15">
        <v>5.8</v>
      </c>
      <c r="H98" s="15">
        <v>5</v>
      </c>
      <c r="I98" s="15">
        <v>6.2</v>
      </c>
      <c r="J98" s="15">
        <v>5</v>
      </c>
      <c r="K98" s="15">
        <v>23</v>
      </c>
      <c r="L98" s="15">
        <v>36</v>
      </c>
      <c r="M98" s="15">
        <v>40</v>
      </c>
      <c r="N98" s="15">
        <v>30</v>
      </c>
      <c r="O98" s="15">
        <v>1.6</v>
      </c>
      <c r="P98" s="15">
        <v>3.3</v>
      </c>
      <c r="Q98" s="15">
        <v>260</v>
      </c>
      <c r="R98"/>
      <c r="S98"/>
      <c r="T98"/>
      <c r="U98"/>
      <c r="V98"/>
      <c r="W98"/>
      <c r="X98"/>
      <c r="Y98"/>
      <c r="Z98"/>
      <c r="AA98"/>
      <c r="AB98"/>
    </row>
    <row r="99" s="7" customFormat="1" customHeight="1" spans="1:28">
      <c r="A99" s="8" t="s">
        <v>712</v>
      </c>
      <c r="B99" s="8" t="str">
        <f>_xlfn.DISPIMG("ID_1F9BA892103F4E59AF98921914CEE573",1)</f>
        <v>=DISPIMG("ID_1F9BA892103F4E59AF98921914CEE573",1)</v>
      </c>
      <c r="C99" s="9">
        <v>3.5</v>
      </c>
      <c r="D99" s="9">
        <v>3.2</v>
      </c>
      <c r="E99" s="9">
        <v>3.5</v>
      </c>
      <c r="F99" s="9">
        <v>3.5</v>
      </c>
      <c r="G99" s="9">
        <v>2.7</v>
      </c>
      <c r="H99" s="9">
        <v>3</v>
      </c>
      <c r="I99" s="9">
        <v>3.3</v>
      </c>
      <c r="J99" s="9">
        <v>2.7</v>
      </c>
      <c r="K99" s="9">
        <v>19</v>
      </c>
      <c r="L99" s="9">
        <v>29</v>
      </c>
      <c r="M99" s="9">
        <v>28</v>
      </c>
      <c r="N99" s="9">
        <v>19</v>
      </c>
      <c r="O99" s="9">
        <v>1.4</v>
      </c>
      <c r="P99" s="9">
        <v>2.7</v>
      </c>
      <c r="Q99" s="9">
        <v>260</v>
      </c>
      <c r="R99"/>
      <c r="S99"/>
      <c r="T99"/>
      <c r="U99"/>
      <c r="V99"/>
      <c r="W99"/>
      <c r="X99"/>
      <c r="Y99"/>
      <c r="Z99"/>
      <c r="AA99"/>
      <c r="AB99"/>
    </row>
    <row r="100" s="7" customFormat="1" customHeight="1" spans="1:28">
      <c r="A100" s="10" t="s">
        <v>713</v>
      </c>
      <c r="B100" s="10" t="str">
        <f>_xlfn.DISPIMG("ID_38A63762B07F4809863DF05C688D7698",1)</f>
        <v>=DISPIMG("ID_38A63762B07F4809863DF05C688D7698",1)</v>
      </c>
      <c r="C100" s="11">
        <v>9</v>
      </c>
      <c r="D100" s="11">
        <v>8.1</v>
      </c>
      <c r="E100" s="11">
        <v>9</v>
      </c>
      <c r="F100" s="11">
        <v>9</v>
      </c>
      <c r="G100" s="11">
        <v>5.9</v>
      </c>
      <c r="H100" s="11">
        <v>7.3</v>
      </c>
      <c r="I100" s="11">
        <v>8.2</v>
      </c>
      <c r="J100" s="11">
        <v>5.9</v>
      </c>
      <c r="K100" s="11">
        <v>37</v>
      </c>
      <c r="L100" s="11">
        <v>59</v>
      </c>
      <c r="M100" s="11">
        <v>57</v>
      </c>
      <c r="N100" s="11">
        <v>37</v>
      </c>
      <c r="O100" s="11">
        <v>2.9</v>
      </c>
      <c r="P100" s="11">
        <v>4.8</v>
      </c>
      <c r="Q100" s="11">
        <v>250</v>
      </c>
      <c r="R100"/>
      <c r="S100"/>
      <c r="T100"/>
      <c r="U100"/>
      <c r="V100"/>
      <c r="W100"/>
      <c r="X100"/>
      <c r="Y100"/>
      <c r="Z100"/>
      <c r="AA100"/>
      <c r="AB100"/>
    </row>
    <row r="101" s="7" customFormat="1" customHeight="1" spans="1:28">
      <c r="A101" s="12" t="s">
        <v>714</v>
      </c>
      <c r="B101" s="12" t="str">
        <f>_xlfn.DISPIMG("ID_4D597409E05845D294B4671C2CB7226B",1)</f>
        <v>=DISPIMG("ID_4D597409E05845D294B4671C2CB7226B",1)</v>
      </c>
      <c r="C101" s="13">
        <v>2.5</v>
      </c>
      <c r="D101" s="13">
        <v>2.3</v>
      </c>
      <c r="E101" s="13">
        <v>2.5</v>
      </c>
      <c r="F101" s="13">
        <v>2.5</v>
      </c>
      <c r="G101" s="13">
        <v>1.9</v>
      </c>
      <c r="H101" s="13">
        <v>2.1</v>
      </c>
      <c r="I101" s="13">
        <v>2.3</v>
      </c>
      <c r="J101" s="13">
        <v>1.9</v>
      </c>
      <c r="K101" s="13">
        <v>14</v>
      </c>
      <c r="L101" s="13">
        <v>20</v>
      </c>
      <c r="M101" s="13">
        <v>19</v>
      </c>
      <c r="N101" s="13">
        <v>14</v>
      </c>
      <c r="O101" s="13">
        <v>1</v>
      </c>
      <c r="P101" s="13">
        <v>2.4</v>
      </c>
      <c r="Q101" s="13">
        <v>280</v>
      </c>
      <c r="R101"/>
      <c r="S101"/>
      <c r="T101"/>
      <c r="U101"/>
      <c r="V101"/>
      <c r="W101"/>
      <c r="X101"/>
      <c r="Y101"/>
      <c r="Z101"/>
      <c r="AA101"/>
      <c r="AB101"/>
    </row>
    <row r="102" s="7" customFormat="1" customHeight="1" spans="1:28">
      <c r="A102" s="14" t="s">
        <v>715</v>
      </c>
      <c r="B102" s="14" t="str">
        <f>_xlfn.DISPIMG("ID_85396DC49EE84BF7B60C7D4CAB438300",1)</f>
        <v>=DISPIMG("ID_85396DC49EE84BF7B60C7D4CAB438300",1)</v>
      </c>
      <c r="C102" s="15">
        <v>6</v>
      </c>
      <c r="D102" s="15">
        <v>5.6</v>
      </c>
      <c r="E102" s="15">
        <v>6</v>
      </c>
      <c r="F102" s="15">
        <v>6</v>
      </c>
      <c r="G102" s="15">
        <v>4.8</v>
      </c>
      <c r="H102" s="15">
        <v>5.2</v>
      </c>
      <c r="I102" s="15">
        <v>5.6</v>
      </c>
      <c r="J102" s="15">
        <v>4.8</v>
      </c>
      <c r="K102" s="15">
        <v>32</v>
      </c>
      <c r="L102" s="15">
        <v>43</v>
      </c>
      <c r="M102" s="15">
        <v>41</v>
      </c>
      <c r="N102" s="15">
        <v>32</v>
      </c>
      <c r="O102" s="15">
        <v>3.1</v>
      </c>
      <c r="P102" s="15">
        <v>5</v>
      </c>
      <c r="Q102" s="15">
        <v>280</v>
      </c>
      <c r="R102"/>
      <c r="S102"/>
      <c r="T102"/>
      <c r="U102"/>
      <c r="V102"/>
      <c r="W102"/>
      <c r="X102"/>
      <c r="Y102"/>
      <c r="Z102"/>
      <c r="AA102"/>
      <c r="AB102"/>
    </row>
    <row r="103" s="7" customFormat="1" customHeight="1" spans="1:28">
      <c r="A103" s="8" t="s">
        <v>716</v>
      </c>
      <c r="B103" s="8" t="str">
        <f>_xlfn.DISPIMG("ID_AB7A6F947DD94D8BB6DE1AD62A32B86B",1)</f>
        <v>=DISPIMG("ID_AB7A6F947DD94D8BB6DE1AD62A32B86B",1)</v>
      </c>
      <c r="C103" s="9">
        <v>1.9</v>
      </c>
      <c r="D103" s="9">
        <v>2.7</v>
      </c>
      <c r="E103" s="9">
        <v>1.9</v>
      </c>
      <c r="F103" s="9">
        <v>2.2</v>
      </c>
      <c r="G103" s="9">
        <v>3.3</v>
      </c>
      <c r="H103" s="9">
        <v>4.3</v>
      </c>
      <c r="I103" s="9">
        <v>3.3</v>
      </c>
      <c r="J103" s="9">
        <v>2.5</v>
      </c>
      <c r="K103" s="9">
        <v>17</v>
      </c>
      <c r="L103" s="9">
        <v>27</v>
      </c>
      <c r="M103" s="9">
        <v>20</v>
      </c>
      <c r="N103" s="9">
        <v>20</v>
      </c>
      <c r="O103" s="9">
        <v>1</v>
      </c>
      <c r="P103" s="9">
        <v>1.8</v>
      </c>
      <c r="Q103" s="9">
        <v>220</v>
      </c>
      <c r="R103"/>
      <c r="S103"/>
      <c r="T103"/>
      <c r="U103"/>
      <c r="V103"/>
      <c r="W103"/>
      <c r="X103"/>
      <c r="Y103"/>
      <c r="Z103"/>
      <c r="AA103"/>
      <c r="AB103"/>
    </row>
    <row r="104" s="7" customFormat="1" customHeight="1" spans="1:28">
      <c r="A104" s="10" t="s">
        <v>717</v>
      </c>
      <c r="B104" s="10" t="str">
        <f>_xlfn.DISPIMG("ID_8DD347EEF4C941B8973903868DC2DE9E",1)</f>
        <v>=DISPIMG("ID_8DD347EEF4C941B8973903868DC2DE9E",1)</v>
      </c>
      <c r="C104" s="11">
        <v>8.6</v>
      </c>
      <c r="D104" s="11">
        <v>10</v>
      </c>
      <c r="E104" s="11">
        <v>8.6</v>
      </c>
      <c r="F104" s="11">
        <v>9.3</v>
      </c>
      <c r="G104" s="11">
        <v>10.4</v>
      </c>
      <c r="H104" s="11">
        <v>11.4</v>
      </c>
      <c r="I104" s="11">
        <v>10.4</v>
      </c>
      <c r="J104" s="11">
        <v>9</v>
      </c>
      <c r="K104" s="11">
        <v>40</v>
      </c>
      <c r="L104" s="11">
        <v>62</v>
      </c>
      <c r="M104" s="11">
        <v>47</v>
      </c>
      <c r="N104" s="11">
        <v>52</v>
      </c>
      <c r="O104" s="11">
        <v>4.8</v>
      </c>
      <c r="P104" s="11">
        <v>6.9</v>
      </c>
      <c r="Q104" s="11">
        <v>270</v>
      </c>
      <c r="R104"/>
      <c r="S104"/>
      <c r="T104"/>
      <c r="U104"/>
      <c r="V104"/>
      <c r="W104"/>
      <c r="X104"/>
      <c r="Y104"/>
      <c r="Z104"/>
      <c r="AA104"/>
      <c r="AB104"/>
    </row>
    <row r="105" s="7" customFormat="1" customHeight="1" spans="1:28">
      <c r="A105" s="12" t="s">
        <v>718</v>
      </c>
      <c r="B105" s="12" t="str">
        <f>_xlfn.DISPIMG("ID_BAAC35BD28DF4B738B73E953CE8FCAED",1)</f>
        <v>=DISPIMG("ID_BAAC35BD28DF4B738B73E953CE8FCAED",1)</v>
      </c>
      <c r="C105" s="13">
        <v>2</v>
      </c>
      <c r="D105" s="13">
        <v>1.2</v>
      </c>
      <c r="E105" s="13">
        <v>2.3</v>
      </c>
      <c r="F105" s="13">
        <v>1.8</v>
      </c>
      <c r="G105" s="13">
        <v>2.6</v>
      </c>
      <c r="H105" s="13">
        <v>2.7</v>
      </c>
      <c r="I105" s="13">
        <v>1.9</v>
      </c>
      <c r="J105" s="13">
        <v>1.5</v>
      </c>
      <c r="K105" s="13">
        <v>12</v>
      </c>
      <c r="L105" s="13">
        <v>20</v>
      </c>
      <c r="M105" s="13">
        <v>13</v>
      </c>
      <c r="N105" s="13">
        <v>16</v>
      </c>
      <c r="O105" s="13">
        <v>0.4</v>
      </c>
      <c r="P105" s="13">
        <v>2</v>
      </c>
      <c r="Q105" s="13">
        <v>260</v>
      </c>
      <c r="R105"/>
      <c r="S105"/>
      <c r="T105"/>
      <c r="U105"/>
      <c r="V105"/>
      <c r="W105"/>
      <c r="X105"/>
      <c r="Y105"/>
      <c r="Z105"/>
      <c r="AA105"/>
      <c r="AB105"/>
    </row>
    <row r="106" s="7" customFormat="1" customHeight="1" spans="1:28">
      <c r="A106" s="14" t="s">
        <v>719</v>
      </c>
      <c r="B106" s="14" t="str">
        <f>_xlfn.DISPIMG("ID_58FD342004734771976715F58A45DEFC",1)</f>
        <v>=DISPIMG("ID_58FD342004734771976715F58A45DEFC",1)</v>
      </c>
      <c r="C106" s="15">
        <v>5.2</v>
      </c>
      <c r="D106" s="15">
        <v>3.8</v>
      </c>
      <c r="E106" s="15">
        <v>6</v>
      </c>
      <c r="F106" s="15">
        <v>4.8</v>
      </c>
      <c r="G106" s="15">
        <v>6.6</v>
      </c>
      <c r="H106" s="15">
        <v>6.9</v>
      </c>
      <c r="I106" s="15">
        <v>5.2</v>
      </c>
      <c r="J106" s="15">
        <v>4.3</v>
      </c>
      <c r="K106" s="15">
        <v>29</v>
      </c>
      <c r="L106" s="15">
        <v>43</v>
      </c>
      <c r="M106" s="15">
        <v>32</v>
      </c>
      <c r="N106" s="15">
        <v>38</v>
      </c>
      <c r="O106" s="15">
        <v>2.1</v>
      </c>
      <c r="P106" s="15">
        <v>4.3</v>
      </c>
      <c r="Q106" s="15">
        <v>270</v>
      </c>
      <c r="R106"/>
      <c r="S106"/>
      <c r="T106"/>
      <c r="U106"/>
      <c r="V106"/>
      <c r="W106"/>
      <c r="X106"/>
      <c r="Y106"/>
      <c r="Z106"/>
      <c r="AA106"/>
      <c r="AB106"/>
    </row>
    <row r="107" s="7" customFormat="1" customHeight="1" spans="1:28">
      <c r="A107" s="8" t="s">
        <v>720</v>
      </c>
      <c r="B107" s="8" t="str">
        <f>_xlfn.DISPIMG("ID_E7C6D7D8B8954B47B1D493B5D8A03BB3",1)</f>
        <v>=DISPIMG("ID_E7C6D7D8B8954B47B1D493B5D8A03BB3",1)</v>
      </c>
      <c r="C107" s="9">
        <v>5.3</v>
      </c>
      <c r="D107" s="9">
        <v>2.2</v>
      </c>
      <c r="E107" s="9">
        <v>5</v>
      </c>
      <c r="F107" s="9">
        <v>4.9</v>
      </c>
      <c r="G107" s="9">
        <v>3.9</v>
      </c>
      <c r="H107" s="9">
        <v>4.1</v>
      </c>
      <c r="I107" s="9">
        <v>2.1</v>
      </c>
      <c r="J107" s="9">
        <v>3.6</v>
      </c>
      <c r="K107" s="9">
        <v>25</v>
      </c>
      <c r="L107" s="9">
        <v>17</v>
      </c>
      <c r="M107" s="9">
        <v>17</v>
      </c>
      <c r="N107" s="9">
        <v>28</v>
      </c>
      <c r="O107" s="9">
        <v>6.1</v>
      </c>
      <c r="P107" s="9">
        <v>5.9</v>
      </c>
      <c r="Q107" s="9">
        <v>400</v>
      </c>
      <c r="R107"/>
      <c r="S107"/>
      <c r="T107"/>
      <c r="U107"/>
      <c r="V107"/>
      <c r="W107"/>
      <c r="X107"/>
      <c r="Y107"/>
      <c r="Z107"/>
      <c r="AA107"/>
      <c r="AB107"/>
    </row>
    <row r="108" s="7" customFormat="1" customHeight="1" spans="1:28">
      <c r="A108" s="10" t="s">
        <v>721</v>
      </c>
      <c r="B108" s="10" t="str">
        <f>_xlfn.DISPIMG("ID_A32801D7F91B431CB667D338B4C2B015",1)</f>
        <v>=DISPIMG("ID_A32801D7F91B431CB667D338B4C2B015",1)</v>
      </c>
      <c r="C108" s="11">
        <v>8.2</v>
      </c>
      <c r="D108" s="11">
        <v>4.2</v>
      </c>
      <c r="E108" s="11">
        <v>8.2</v>
      </c>
      <c r="F108" s="11">
        <v>6</v>
      </c>
      <c r="G108" s="11">
        <v>13.5</v>
      </c>
      <c r="H108" s="11">
        <v>13.1</v>
      </c>
      <c r="I108" s="11">
        <v>11.4</v>
      </c>
      <c r="J108" s="11">
        <v>13.5</v>
      </c>
      <c r="K108" s="11">
        <v>24</v>
      </c>
      <c r="L108" s="11">
        <v>37</v>
      </c>
      <c r="M108" s="11">
        <v>32</v>
      </c>
      <c r="N108" s="11">
        <v>87</v>
      </c>
      <c r="O108" s="11">
        <v>2</v>
      </c>
      <c r="P108" s="11">
        <v>4.8</v>
      </c>
      <c r="Q108" s="11">
        <v>230</v>
      </c>
      <c r="R108"/>
      <c r="S108"/>
      <c r="T108"/>
      <c r="U108"/>
      <c r="V108"/>
      <c r="W108"/>
      <c r="X108"/>
      <c r="Y108"/>
      <c r="Z108"/>
      <c r="AA108"/>
      <c r="AB108"/>
    </row>
    <row r="109" s="7" customFormat="1" customHeight="1" spans="1:28">
      <c r="A109" s="12" t="s">
        <v>722</v>
      </c>
      <c r="B109" s="12" t="str">
        <f>_xlfn.DISPIMG("ID_9F461C67132C4C9F90701FB16D511E4E",1)</f>
        <v>=DISPIMG("ID_9F461C67132C4C9F90701FB16D511E4E",1)</v>
      </c>
      <c r="C109" s="13">
        <v>1.7</v>
      </c>
      <c r="D109" s="13">
        <v>0.7</v>
      </c>
      <c r="E109" s="13">
        <v>1.7</v>
      </c>
      <c r="F109" s="13">
        <v>1.1</v>
      </c>
      <c r="G109" s="13">
        <v>2.7</v>
      </c>
      <c r="H109" s="13">
        <v>2.6</v>
      </c>
      <c r="I109" s="13">
        <v>2.2</v>
      </c>
      <c r="J109" s="13">
        <v>2.7</v>
      </c>
      <c r="K109" s="13">
        <v>10</v>
      </c>
      <c r="L109" s="13">
        <v>15</v>
      </c>
      <c r="M109" s="13">
        <v>13</v>
      </c>
      <c r="N109" s="13">
        <v>32</v>
      </c>
      <c r="O109" s="13">
        <v>0.3</v>
      </c>
      <c r="P109" s="13">
        <v>1.6</v>
      </c>
      <c r="Q109" s="13">
        <v>230</v>
      </c>
      <c r="R109"/>
      <c r="S109"/>
      <c r="T109"/>
      <c r="U109"/>
      <c r="V109"/>
      <c r="W109"/>
      <c r="X109"/>
      <c r="Y109"/>
      <c r="Z109"/>
      <c r="AA109"/>
      <c r="AB109"/>
    </row>
    <row r="110" s="7" customFormat="1" customHeight="1" spans="1:28">
      <c r="A110" s="14" t="s">
        <v>723</v>
      </c>
      <c r="B110" s="14" t="str">
        <f>_xlfn.DISPIMG("ID_548C7DA03E8E47B6B973ED825F62316A",1)</f>
        <v>=DISPIMG("ID_548C7DA03E8E47B6B973ED825F62316A",1)</v>
      </c>
      <c r="C110" s="15">
        <v>4.2</v>
      </c>
      <c r="D110" s="15">
        <v>1.9</v>
      </c>
      <c r="E110" s="15">
        <v>4.2</v>
      </c>
      <c r="F110" s="15">
        <v>3</v>
      </c>
      <c r="G110" s="15">
        <v>6.9</v>
      </c>
      <c r="H110" s="15">
        <v>6.7</v>
      </c>
      <c r="I110" s="15">
        <v>5.7</v>
      </c>
      <c r="J110" s="15">
        <v>6.9</v>
      </c>
      <c r="K110" s="15">
        <v>12</v>
      </c>
      <c r="L110" s="15">
        <v>22</v>
      </c>
      <c r="M110" s="15">
        <v>19</v>
      </c>
      <c r="N110" s="15">
        <v>53</v>
      </c>
      <c r="O110" s="15">
        <v>1</v>
      </c>
      <c r="P110" s="15">
        <v>2.8</v>
      </c>
      <c r="Q110" s="15">
        <v>230</v>
      </c>
      <c r="R110"/>
      <c r="S110"/>
      <c r="T110"/>
      <c r="U110"/>
      <c r="V110"/>
      <c r="W110"/>
      <c r="X110"/>
      <c r="Y110"/>
      <c r="Z110"/>
      <c r="AA110"/>
      <c r="AB110"/>
    </row>
    <row r="111" s="7" customFormat="1" customHeight="1" spans="1:28">
      <c r="A111" s="8" t="s">
        <v>724</v>
      </c>
      <c r="B111" s="8" t="str">
        <f>_xlfn.DISPIMG("ID_B3BFCE4F97D34BE5A6750224B4CBAA28",1)</f>
        <v>=DISPIMG("ID_B3BFCE4F97D34BE5A6750224B4CBAA28",1)</v>
      </c>
      <c r="C111" s="9">
        <v>2.8</v>
      </c>
      <c r="D111" s="9">
        <v>1.4</v>
      </c>
      <c r="E111" s="9">
        <v>2.8</v>
      </c>
      <c r="F111" s="9">
        <v>2.5</v>
      </c>
      <c r="G111" s="9">
        <v>4.7</v>
      </c>
      <c r="H111" s="9">
        <v>3.3</v>
      </c>
      <c r="I111" s="9">
        <v>4.3</v>
      </c>
      <c r="J111" s="9">
        <v>5</v>
      </c>
      <c r="K111" s="9">
        <v>15</v>
      </c>
      <c r="L111" s="9">
        <v>12</v>
      </c>
      <c r="M111" s="9">
        <v>31</v>
      </c>
      <c r="N111" s="9">
        <v>10</v>
      </c>
      <c r="O111" s="9">
        <v>2</v>
      </c>
      <c r="P111" s="9">
        <v>2.7</v>
      </c>
      <c r="Q111" s="9">
        <v>270</v>
      </c>
      <c r="R111"/>
      <c r="S111"/>
      <c r="T111"/>
      <c r="U111"/>
      <c r="V111"/>
      <c r="W111"/>
      <c r="X111"/>
      <c r="Y111"/>
      <c r="Z111"/>
      <c r="AA111"/>
      <c r="AB111"/>
    </row>
    <row r="112" s="7" customFormat="1" customHeight="1" spans="1:28">
      <c r="A112" s="10" t="s">
        <v>725</v>
      </c>
      <c r="B112" s="10" t="str">
        <f>_xlfn.DISPIMG("ID_DB4C4DA6C34A4A2AA78E6FA8D6686D45",1)</f>
        <v>=DISPIMG("ID_DB4C4DA6C34A4A2AA78E6FA8D6686D45",1)</v>
      </c>
      <c r="C112" s="11">
        <v>9.3</v>
      </c>
      <c r="D112" s="11">
        <v>5.5</v>
      </c>
      <c r="E112" s="11">
        <v>9.3</v>
      </c>
      <c r="F112" s="11">
        <v>8.6</v>
      </c>
      <c r="G112" s="11">
        <v>12.9</v>
      </c>
      <c r="H112" s="11">
        <v>9.3</v>
      </c>
      <c r="I112" s="11">
        <v>11.9</v>
      </c>
      <c r="J112" s="11">
        <v>13.3</v>
      </c>
      <c r="K112" s="11">
        <v>40</v>
      </c>
      <c r="L112" s="11">
        <v>36</v>
      </c>
      <c r="M112" s="11">
        <v>81</v>
      </c>
      <c r="N112" s="11">
        <v>29</v>
      </c>
      <c r="O112" s="11">
        <v>6</v>
      </c>
      <c r="P112" s="11">
        <v>7.3</v>
      </c>
      <c r="Q112" s="11">
        <v>280</v>
      </c>
      <c r="R112"/>
      <c r="S112"/>
      <c r="T112"/>
      <c r="U112"/>
      <c r="V112"/>
      <c r="W112"/>
      <c r="X112"/>
      <c r="Y112"/>
      <c r="Z112"/>
      <c r="AA112"/>
      <c r="AB112"/>
    </row>
    <row r="113" s="7" customFormat="1" customHeight="1" spans="1:28">
      <c r="A113" s="12" t="s">
        <v>726</v>
      </c>
      <c r="B113" s="12" t="str">
        <f>_xlfn.DISPIMG("ID_1A8C2BA9324A4E5480673D137959925C",1)</f>
        <v>=DISPIMG("ID_1A8C2BA9324A4E5480673D137959925C",1)</v>
      </c>
      <c r="C113" s="13">
        <v>2.1</v>
      </c>
      <c r="D113" s="13">
        <v>1.1</v>
      </c>
      <c r="E113" s="13">
        <v>2.1</v>
      </c>
      <c r="F113" s="13">
        <v>1.9</v>
      </c>
      <c r="G113" s="13">
        <v>3.6</v>
      </c>
      <c r="H113" s="13">
        <v>2.6</v>
      </c>
      <c r="I113" s="13">
        <v>3.3</v>
      </c>
      <c r="J113" s="13">
        <v>3.7</v>
      </c>
      <c r="K113" s="13">
        <v>14</v>
      </c>
      <c r="L113" s="13">
        <v>13</v>
      </c>
      <c r="M113" s="13">
        <v>28</v>
      </c>
      <c r="N113" s="13">
        <v>10</v>
      </c>
      <c r="O113" s="13">
        <v>0.7</v>
      </c>
      <c r="P113" s="13">
        <v>2.2</v>
      </c>
      <c r="Q113" s="13">
        <v>280</v>
      </c>
      <c r="R113"/>
      <c r="S113"/>
      <c r="T113"/>
      <c r="U113"/>
      <c r="V113"/>
      <c r="W113"/>
      <c r="X113"/>
      <c r="Y113"/>
      <c r="Z113"/>
      <c r="AA113"/>
      <c r="AB113"/>
    </row>
    <row r="114" s="7" customFormat="1" customHeight="1" spans="1:28">
      <c r="A114" s="14" t="s">
        <v>727</v>
      </c>
      <c r="B114" s="14" t="str">
        <f>_xlfn.DISPIMG("ID_56AA656C48B141EC94653B521FDBB12E",1)</f>
        <v>=DISPIMG("ID_56AA656C48B141EC94653B521FDBB12E",1)</v>
      </c>
      <c r="C114" s="15">
        <v>5.1</v>
      </c>
      <c r="D114" s="15">
        <v>3</v>
      </c>
      <c r="E114" s="15">
        <v>5.1</v>
      </c>
      <c r="F114" s="15">
        <v>4.7</v>
      </c>
      <c r="G114" s="15">
        <v>7.6</v>
      </c>
      <c r="H114" s="15">
        <v>5.5</v>
      </c>
      <c r="I114" s="15">
        <v>7</v>
      </c>
      <c r="J114" s="15">
        <v>7.8</v>
      </c>
      <c r="K114" s="15">
        <v>23</v>
      </c>
      <c r="L114" s="15">
        <v>21</v>
      </c>
      <c r="M114" s="15">
        <v>48</v>
      </c>
      <c r="N114" s="15">
        <v>16</v>
      </c>
      <c r="O114" s="15">
        <v>2.8</v>
      </c>
      <c r="P114" s="15">
        <v>4.3</v>
      </c>
      <c r="Q114" s="15">
        <v>280</v>
      </c>
      <c r="R114"/>
      <c r="S114"/>
      <c r="T114"/>
      <c r="U114"/>
      <c r="V114"/>
      <c r="W114"/>
      <c r="X114"/>
      <c r="Y114"/>
      <c r="Z114"/>
      <c r="AA114"/>
      <c r="AB114"/>
    </row>
    <row r="115" s="7" customFormat="1" customHeight="1" spans="1:28">
      <c r="A115" s="8" t="s">
        <v>728</v>
      </c>
      <c r="B115" s="8" t="str">
        <f>_xlfn.DISPIMG("ID_6B617E6429164805B17CD92806DB3643",1)</f>
        <v>=DISPIMG("ID_6B617E6429164805B17CD92806DB3643",1)</v>
      </c>
      <c r="C115" s="9">
        <v>3.3</v>
      </c>
      <c r="D115" s="9">
        <v>3.9</v>
      </c>
      <c r="E115" s="9">
        <v>3.3</v>
      </c>
      <c r="F115" s="9">
        <v>3.3</v>
      </c>
      <c r="G115" s="9">
        <v>3.5</v>
      </c>
      <c r="H115" s="9">
        <v>4.2</v>
      </c>
      <c r="I115" s="9">
        <v>3.3</v>
      </c>
      <c r="J115" s="9">
        <v>2.8</v>
      </c>
      <c r="K115" s="9">
        <v>19</v>
      </c>
      <c r="L115" s="9">
        <v>27</v>
      </c>
      <c r="M115" s="9">
        <v>28</v>
      </c>
      <c r="N115" s="9">
        <v>27</v>
      </c>
      <c r="O115" s="9">
        <v>1.9</v>
      </c>
      <c r="P115" s="9">
        <v>3.3</v>
      </c>
      <c r="Q115" s="9">
        <v>280</v>
      </c>
      <c r="R115"/>
      <c r="S115"/>
      <c r="T115"/>
      <c r="U115"/>
      <c r="V115"/>
      <c r="W115"/>
      <c r="X115"/>
      <c r="Y115"/>
      <c r="Z115"/>
      <c r="AA115"/>
      <c r="AB115"/>
    </row>
    <row r="116" s="7" customFormat="1" customHeight="1" spans="1:28">
      <c r="A116" s="10" t="s">
        <v>729</v>
      </c>
      <c r="B116" s="10" t="str">
        <f>_xlfn.DISPIMG("ID_50D733C90BD14605B082E1AA5E90AFED",1)</f>
        <v>=DISPIMG("ID_50D733C90BD14605B082E1AA5E90AFED",1)</v>
      </c>
      <c r="C116" s="11">
        <v>9.8</v>
      </c>
      <c r="D116" s="11">
        <v>9.8</v>
      </c>
      <c r="E116" s="11">
        <v>9.1</v>
      </c>
      <c r="F116" s="11">
        <v>9.8</v>
      </c>
      <c r="G116" s="11">
        <v>12.2</v>
      </c>
      <c r="H116" s="11">
        <v>12.7</v>
      </c>
      <c r="I116" s="11">
        <v>9.8</v>
      </c>
      <c r="J116" s="11">
        <v>8.3</v>
      </c>
      <c r="K116" s="11">
        <v>41</v>
      </c>
      <c r="L116" s="11">
        <v>55</v>
      </c>
      <c r="M116" s="11">
        <v>62</v>
      </c>
      <c r="N116" s="11">
        <v>55</v>
      </c>
      <c r="O116" s="11">
        <v>6</v>
      </c>
      <c r="P116" s="11">
        <v>6.9</v>
      </c>
      <c r="Q116" s="11">
        <v>270</v>
      </c>
      <c r="R116"/>
      <c r="S116"/>
      <c r="T116"/>
      <c r="U116"/>
      <c r="V116"/>
      <c r="W116"/>
      <c r="X116"/>
      <c r="Y116"/>
      <c r="Z116"/>
      <c r="AA116"/>
      <c r="AB116"/>
    </row>
    <row r="117" s="7" customFormat="1" customHeight="1" spans="1:28">
      <c r="A117" s="12" t="s">
        <v>730</v>
      </c>
      <c r="B117" s="12" t="str">
        <f>_xlfn.DISPIMG("ID_DB207250DC2E4DB7804C18972B57BA80",1)</f>
        <v>=DISPIMG("ID_DB207250DC2E4DB7804C18972B57BA80",1)</v>
      </c>
      <c r="C117" s="13">
        <v>2.6</v>
      </c>
      <c r="D117" s="13">
        <v>3</v>
      </c>
      <c r="E117" s="13">
        <v>2.8</v>
      </c>
      <c r="F117" s="13">
        <v>2.6</v>
      </c>
      <c r="G117" s="13">
        <v>3.4</v>
      </c>
      <c r="H117" s="13">
        <v>3.4</v>
      </c>
      <c r="I117" s="13">
        <v>2.8</v>
      </c>
      <c r="J117" s="13">
        <v>2.4</v>
      </c>
      <c r="K117" s="13">
        <v>12</v>
      </c>
      <c r="L117" s="13">
        <v>18</v>
      </c>
      <c r="M117" s="13">
        <v>18</v>
      </c>
      <c r="N117" s="13">
        <v>18</v>
      </c>
      <c r="O117" s="13">
        <v>1.9</v>
      </c>
      <c r="P117" s="13">
        <v>2.8</v>
      </c>
      <c r="Q117" s="13">
        <v>280</v>
      </c>
      <c r="R117"/>
      <c r="S117"/>
      <c r="T117"/>
      <c r="U117"/>
      <c r="V117"/>
      <c r="W117"/>
      <c r="X117"/>
      <c r="Y117"/>
      <c r="Z117"/>
      <c r="AA117"/>
      <c r="AB117"/>
    </row>
    <row r="118" s="7" customFormat="1" customHeight="1" spans="1:28">
      <c r="A118" s="14" t="s">
        <v>731</v>
      </c>
      <c r="B118" s="14" t="str">
        <f>_xlfn.DISPIMG("ID_98C52CB79B36487882F4E7B233DE357F",1)</f>
        <v>=DISPIMG("ID_98C52CB79B36487882F4E7B233DE357F",1)</v>
      </c>
      <c r="C118" s="15">
        <v>4.2</v>
      </c>
      <c r="D118" s="15">
        <v>5.1</v>
      </c>
      <c r="E118" s="15">
        <v>4.2</v>
      </c>
      <c r="F118" s="15">
        <v>4.7</v>
      </c>
      <c r="G118" s="15">
        <v>6.2</v>
      </c>
      <c r="H118" s="15">
        <v>6.5</v>
      </c>
      <c r="I118" s="15">
        <v>4.7</v>
      </c>
      <c r="J118" s="15">
        <v>3.7</v>
      </c>
      <c r="K118" s="15">
        <v>21</v>
      </c>
      <c r="L118" s="15">
        <v>28</v>
      </c>
      <c r="M118" s="15">
        <v>34</v>
      </c>
      <c r="N118" s="15">
        <v>28</v>
      </c>
      <c r="O118" s="15">
        <v>2.3</v>
      </c>
      <c r="P118" s="15">
        <v>3.6</v>
      </c>
      <c r="Q118" s="15">
        <v>260</v>
      </c>
      <c r="R118"/>
      <c r="S118"/>
      <c r="T118"/>
      <c r="U118"/>
      <c r="V118"/>
      <c r="W118"/>
      <c r="X118"/>
      <c r="Y118"/>
      <c r="Z118"/>
      <c r="AA118"/>
      <c r="AB118"/>
    </row>
    <row r="119" s="7" customFormat="1" customHeight="1" spans="1:28">
      <c r="A119" s="8" t="s">
        <v>732</v>
      </c>
      <c r="B119" s="8" t="str">
        <f>_xlfn.DISPIMG("ID_418B6B81873D4E1699F87D90549C0BDC",1)</f>
        <v>=DISPIMG("ID_418B6B81873D4E1699F87D90549C0BDC",1)</v>
      </c>
      <c r="C119" s="9">
        <v>3.3</v>
      </c>
      <c r="D119" s="9">
        <v>1.8</v>
      </c>
      <c r="E119" s="9">
        <v>4.4</v>
      </c>
      <c r="F119" s="9">
        <v>4</v>
      </c>
      <c r="G119" s="9">
        <v>2.7</v>
      </c>
      <c r="H119" s="9">
        <v>2.2</v>
      </c>
      <c r="I119" s="9">
        <v>2.5</v>
      </c>
      <c r="J119" s="9">
        <v>2.8</v>
      </c>
      <c r="K119" s="9">
        <v>14</v>
      </c>
      <c r="L119" s="9">
        <v>10</v>
      </c>
      <c r="M119" s="9">
        <v>23</v>
      </c>
      <c r="N119" s="9">
        <v>7</v>
      </c>
      <c r="O119" s="9">
        <v>1.5</v>
      </c>
      <c r="P119" s="9">
        <v>2.8</v>
      </c>
      <c r="Q119" s="9">
        <v>270</v>
      </c>
      <c r="R119"/>
      <c r="S119"/>
      <c r="T119"/>
      <c r="U119"/>
      <c r="V119"/>
      <c r="W119"/>
      <c r="X119"/>
      <c r="Y119"/>
      <c r="Z119"/>
      <c r="AA119"/>
      <c r="AB119"/>
    </row>
    <row r="120" s="7" customFormat="1" customHeight="1" spans="1:28">
      <c r="A120" s="10" t="s">
        <v>733</v>
      </c>
      <c r="B120" s="10" t="str">
        <f>_xlfn.DISPIMG("ID_788C66DE7EDF4684873F6F3F60F411CB",1)</f>
        <v>=DISPIMG("ID_788C66DE7EDF4684873F6F3F60F411CB",1)</v>
      </c>
      <c r="C120" s="11">
        <v>10.5</v>
      </c>
      <c r="D120" s="11">
        <v>7.4</v>
      </c>
      <c r="E120" s="11">
        <v>12.2</v>
      </c>
      <c r="F120" s="11">
        <v>11.7</v>
      </c>
      <c r="G120" s="11">
        <v>8.3</v>
      </c>
      <c r="H120" s="11">
        <v>6</v>
      </c>
      <c r="I120" s="11">
        <v>9.1</v>
      </c>
      <c r="J120" s="11">
        <v>9.8</v>
      </c>
      <c r="K120" s="11">
        <v>41</v>
      </c>
      <c r="L120" s="11">
        <v>33</v>
      </c>
      <c r="M120" s="11">
        <v>55</v>
      </c>
      <c r="N120" s="11">
        <v>22</v>
      </c>
      <c r="O120" s="11">
        <v>6.7</v>
      </c>
      <c r="P120" s="11">
        <v>7.3</v>
      </c>
      <c r="Q120" s="11">
        <v>280</v>
      </c>
      <c r="R120"/>
      <c r="S120"/>
      <c r="T120"/>
      <c r="U120"/>
      <c r="V120"/>
      <c r="W120"/>
      <c r="X120"/>
      <c r="Y120"/>
      <c r="Z120"/>
      <c r="AA120"/>
      <c r="AB120"/>
    </row>
    <row r="121" s="7" customFormat="1" customHeight="1" spans="1:28">
      <c r="A121" s="12" t="s">
        <v>734</v>
      </c>
      <c r="B121" s="12" t="str">
        <f>_xlfn.DISPIMG("ID_790FD66DBC534AC4BD02FA1FD16000A3",1)</f>
        <v>=DISPIMG("ID_790FD66DBC534AC4BD02FA1FD16000A3",1)</v>
      </c>
      <c r="C121" s="13">
        <v>2.8</v>
      </c>
      <c r="D121" s="13">
        <v>2</v>
      </c>
      <c r="E121" s="13">
        <v>3.2</v>
      </c>
      <c r="F121" s="13">
        <v>3.1</v>
      </c>
      <c r="G121" s="13">
        <v>2.2</v>
      </c>
      <c r="H121" s="13">
        <v>1.7</v>
      </c>
      <c r="I121" s="13">
        <v>2.4</v>
      </c>
      <c r="J121" s="13">
        <v>2.6</v>
      </c>
      <c r="K121" s="13">
        <v>15</v>
      </c>
      <c r="L121" s="13">
        <v>12</v>
      </c>
      <c r="M121" s="13">
        <v>20</v>
      </c>
      <c r="N121" s="13">
        <v>9</v>
      </c>
      <c r="O121" s="13">
        <v>1.7</v>
      </c>
      <c r="P121" s="13">
        <v>2.4</v>
      </c>
      <c r="Q121" s="13">
        <v>280</v>
      </c>
      <c r="R121"/>
      <c r="S121"/>
      <c r="T121"/>
      <c r="U121"/>
      <c r="V121"/>
      <c r="W121"/>
      <c r="X121"/>
      <c r="Y121"/>
      <c r="Z121"/>
      <c r="AA121"/>
      <c r="AB121"/>
    </row>
    <row r="122" s="7" customFormat="1" customHeight="1" spans="1:28">
      <c r="A122" s="14" t="s">
        <v>735</v>
      </c>
      <c r="B122" s="14" t="str">
        <f>_xlfn.DISPIMG("ID_4534120C218A4201835AB2ED08D7E669",1)</f>
        <v>=DISPIMG("ID_4534120C218A4201835AB2ED08D7E669",1)</v>
      </c>
      <c r="C122" s="15">
        <v>6</v>
      </c>
      <c r="D122" s="15">
        <v>4.2</v>
      </c>
      <c r="E122" s="15">
        <v>7</v>
      </c>
      <c r="F122" s="15">
        <v>6.7</v>
      </c>
      <c r="G122" s="15">
        <v>4.7</v>
      </c>
      <c r="H122" s="15">
        <v>3.4</v>
      </c>
      <c r="I122" s="15">
        <v>4.7</v>
      </c>
      <c r="J122" s="15">
        <v>5.1</v>
      </c>
      <c r="K122" s="15">
        <v>22</v>
      </c>
      <c r="L122" s="15">
        <v>17</v>
      </c>
      <c r="M122" s="15">
        <v>31</v>
      </c>
      <c r="N122" s="15">
        <v>10</v>
      </c>
      <c r="O122" s="15">
        <v>3.6</v>
      </c>
      <c r="P122" s="15">
        <v>4.4</v>
      </c>
      <c r="Q122" s="15">
        <v>280</v>
      </c>
      <c r="R122"/>
      <c r="S122"/>
      <c r="T122"/>
      <c r="U122"/>
      <c r="V122"/>
      <c r="W122"/>
      <c r="X122"/>
      <c r="Y122"/>
      <c r="Z122"/>
      <c r="AA122"/>
      <c r="AB122"/>
    </row>
    <row r="123" s="7" customFormat="1" customHeight="1" spans="1:28">
      <c r="A123" s="8" t="s">
        <v>736</v>
      </c>
      <c r="B123" s="8" t="str">
        <f>_xlfn.DISPIMG("ID_19498DEFEDFA464C8D2BF3ED7A365911",1)</f>
        <v>=DISPIMG("ID_19498DEFEDFA464C8D2BF3ED7A365911",1)</v>
      </c>
      <c r="C123" s="9">
        <v>2.1</v>
      </c>
      <c r="D123" s="9">
        <v>2.6</v>
      </c>
      <c r="E123" s="9">
        <v>2.6</v>
      </c>
      <c r="F123" s="9">
        <v>2.1</v>
      </c>
      <c r="G123" s="9">
        <v>4.6</v>
      </c>
      <c r="H123" s="9">
        <v>2.2</v>
      </c>
      <c r="I123" s="9">
        <v>4.8</v>
      </c>
      <c r="J123" s="9">
        <v>4.6</v>
      </c>
      <c r="K123" s="9">
        <v>21</v>
      </c>
      <c r="L123" s="9">
        <v>27</v>
      </c>
      <c r="M123" s="9">
        <v>24</v>
      </c>
      <c r="N123" s="9">
        <v>27</v>
      </c>
      <c r="O123" s="9">
        <v>1.3</v>
      </c>
      <c r="P123" s="9">
        <v>3</v>
      </c>
      <c r="Q123" s="9">
        <v>270</v>
      </c>
      <c r="R123"/>
      <c r="S123"/>
      <c r="T123"/>
      <c r="U123"/>
      <c r="V123"/>
      <c r="W123"/>
      <c r="X123"/>
      <c r="Y123"/>
      <c r="Z123"/>
      <c r="AA123"/>
      <c r="AB123"/>
    </row>
    <row r="124" s="7" customFormat="1" customHeight="1" spans="1:28">
      <c r="A124" s="10" t="s">
        <v>737</v>
      </c>
      <c r="B124" s="10" t="str">
        <f>_xlfn.DISPIMG("ID_F2BFD323A7B544F9A6A8B6271C2490C0",1)</f>
        <v>=DISPIMG("ID_F2BFD323A7B544F9A6A8B6271C2490C0",1)</v>
      </c>
      <c r="C124" s="11">
        <v>10.1</v>
      </c>
      <c r="D124" s="11">
        <v>6.9</v>
      </c>
      <c r="E124" s="11">
        <v>10.7</v>
      </c>
      <c r="F124" s="11">
        <v>9.4</v>
      </c>
      <c r="G124" s="11">
        <v>11.7</v>
      </c>
      <c r="H124" s="11">
        <v>5.5</v>
      </c>
      <c r="I124" s="11">
        <v>10</v>
      </c>
      <c r="J124" s="11">
        <v>11.7</v>
      </c>
      <c r="K124" s="11">
        <v>39</v>
      </c>
      <c r="L124" s="11">
        <v>46</v>
      </c>
      <c r="M124" s="11">
        <v>33</v>
      </c>
      <c r="N124" s="11">
        <v>22</v>
      </c>
      <c r="O124" s="11">
        <v>7.7</v>
      </c>
      <c r="P124" s="11">
        <v>8.6</v>
      </c>
      <c r="Q124" s="11">
        <v>350</v>
      </c>
      <c r="R124"/>
      <c r="S124"/>
      <c r="T124"/>
      <c r="U124"/>
      <c r="V124"/>
      <c r="W124"/>
      <c r="X124"/>
      <c r="Y124"/>
      <c r="Z124"/>
      <c r="AA124"/>
      <c r="AB124"/>
    </row>
    <row r="125" s="7" customFormat="1" customHeight="1" spans="1:28">
      <c r="A125" s="12" t="s">
        <v>738</v>
      </c>
      <c r="B125" s="12" t="str">
        <f>_xlfn.DISPIMG("ID_337BF6A9C3F641558ADF31B225D44B69",1)</f>
        <v>=DISPIMG("ID_337BF6A9C3F641558ADF31B225D44B69",1)</v>
      </c>
      <c r="C125" s="13">
        <v>1.8</v>
      </c>
      <c r="D125" s="13">
        <v>2</v>
      </c>
      <c r="E125" s="13">
        <v>1.2</v>
      </c>
      <c r="F125" s="13">
        <v>1.8</v>
      </c>
      <c r="G125" s="13">
        <v>2.7</v>
      </c>
      <c r="H125" s="13">
        <v>1.2</v>
      </c>
      <c r="I125" s="13">
        <v>2.9</v>
      </c>
      <c r="J125" s="13">
        <v>2.6</v>
      </c>
      <c r="K125" s="13">
        <v>15</v>
      </c>
      <c r="L125" s="13">
        <v>22</v>
      </c>
      <c r="M125" s="13">
        <v>22</v>
      </c>
      <c r="N125" s="13">
        <v>18</v>
      </c>
      <c r="O125" s="13">
        <v>0.8</v>
      </c>
      <c r="P125" s="13">
        <v>2</v>
      </c>
      <c r="Q125" s="13">
        <v>260</v>
      </c>
      <c r="R125"/>
      <c r="S125"/>
      <c r="T125"/>
      <c r="U125"/>
      <c r="V125"/>
      <c r="W125"/>
      <c r="X125"/>
      <c r="Y125"/>
      <c r="Z125"/>
      <c r="AA125"/>
      <c r="AB125"/>
    </row>
    <row r="126" s="7" customFormat="1" customHeight="1" spans="1:28">
      <c r="A126" s="14" t="s">
        <v>739</v>
      </c>
      <c r="B126" s="14" t="str">
        <f>_xlfn.DISPIMG("ID_14CFA2AFEB674EB7AC5828799CB63DD1",1)</f>
        <v>=DISPIMG("ID_14CFA2AFEB674EB7AC5828799CB63DD1",1)</v>
      </c>
      <c r="C126" s="15">
        <v>4.6</v>
      </c>
      <c r="D126" s="15">
        <v>5.1</v>
      </c>
      <c r="E126" s="15">
        <v>3.4</v>
      </c>
      <c r="F126" s="15">
        <v>4.6</v>
      </c>
      <c r="G126" s="15">
        <v>7</v>
      </c>
      <c r="H126" s="15">
        <v>3.4</v>
      </c>
      <c r="I126" s="15">
        <v>7.4</v>
      </c>
      <c r="J126" s="15">
        <v>6.7</v>
      </c>
      <c r="K126" s="15">
        <v>22</v>
      </c>
      <c r="L126" s="15">
        <v>35</v>
      </c>
      <c r="M126" s="15">
        <v>35</v>
      </c>
      <c r="N126" s="15">
        <v>28</v>
      </c>
      <c r="O126" s="15">
        <v>1.5</v>
      </c>
      <c r="P126" s="15">
        <v>3.9</v>
      </c>
      <c r="Q126" s="15">
        <v>260</v>
      </c>
      <c r="R126"/>
      <c r="S126"/>
      <c r="T126"/>
      <c r="U126"/>
      <c r="V126"/>
      <c r="W126"/>
      <c r="X126"/>
      <c r="Y126"/>
      <c r="Z126"/>
      <c r="AA126"/>
      <c r="AB126"/>
    </row>
    <row r="127" s="7" customFormat="1" customHeight="1" spans="1:28">
      <c r="A127" s="8" t="s">
        <v>740</v>
      </c>
      <c r="B127" s="8" t="str">
        <f>_xlfn.DISPIMG("ID_AAB290EEA8AB455E98F54EBE25EB484A",1)</f>
        <v>=DISPIMG("ID_AAB290EEA8AB455E98F54EBE25EB484A",1)</v>
      </c>
      <c r="C127" s="9">
        <v>4</v>
      </c>
      <c r="D127" s="9">
        <v>2.8</v>
      </c>
      <c r="E127" s="9">
        <v>4.3</v>
      </c>
      <c r="F127" s="9">
        <v>3.6</v>
      </c>
      <c r="G127" s="9">
        <v>2.6</v>
      </c>
      <c r="H127" s="9">
        <v>4.1</v>
      </c>
      <c r="I127" s="9">
        <v>2</v>
      </c>
      <c r="J127" s="9">
        <v>3.7</v>
      </c>
      <c r="K127" s="9">
        <v>24</v>
      </c>
      <c r="L127" s="9">
        <v>16</v>
      </c>
      <c r="M127" s="9">
        <v>14</v>
      </c>
      <c r="N127" s="9">
        <v>18</v>
      </c>
      <c r="O127" s="9">
        <v>2.2</v>
      </c>
      <c r="P127" s="9">
        <v>3.7</v>
      </c>
      <c r="Q127" s="9">
        <v>360</v>
      </c>
      <c r="R127"/>
      <c r="S127"/>
      <c r="T127"/>
      <c r="U127"/>
      <c r="V127"/>
      <c r="W127"/>
      <c r="X127"/>
      <c r="Y127"/>
      <c r="Z127"/>
      <c r="AA127"/>
      <c r="AB127"/>
    </row>
    <row r="128" s="7" customFormat="1" customHeight="1" spans="1:28">
      <c r="A128" s="10" t="s">
        <v>741</v>
      </c>
      <c r="B128" s="10" t="str">
        <f>_xlfn.DISPIMG("ID_DAD71FCA37F549798BBFB78E57CE371A",1)</f>
        <v>=DISPIMG("ID_DAD71FCA37F549798BBFB78E57CE371A",1)</v>
      </c>
      <c r="C128" s="11">
        <v>7.7</v>
      </c>
      <c r="D128" s="11">
        <v>7.7</v>
      </c>
      <c r="E128" s="11">
        <v>10</v>
      </c>
      <c r="F128" s="11">
        <v>6.8</v>
      </c>
      <c r="G128" s="11">
        <v>9.7</v>
      </c>
      <c r="H128" s="11">
        <v>12.5</v>
      </c>
      <c r="I128" s="11">
        <v>10.9</v>
      </c>
      <c r="J128" s="11">
        <v>12.1</v>
      </c>
      <c r="K128" s="11">
        <v>40</v>
      </c>
      <c r="L128" s="11">
        <v>60</v>
      </c>
      <c r="M128" s="11">
        <v>47</v>
      </c>
      <c r="N128" s="11">
        <v>71</v>
      </c>
      <c r="O128" s="11">
        <v>2.2</v>
      </c>
      <c r="P128" s="11">
        <v>6.5</v>
      </c>
      <c r="Q128" s="11">
        <v>270</v>
      </c>
      <c r="R128"/>
      <c r="S128"/>
      <c r="T128"/>
      <c r="U128"/>
      <c r="V128"/>
      <c r="W128"/>
      <c r="X128"/>
      <c r="Y128"/>
      <c r="Z128"/>
      <c r="AA128"/>
      <c r="AB128"/>
    </row>
    <row r="129" s="7" customFormat="1" customHeight="1" spans="1:28">
      <c r="A129" s="12" t="s">
        <v>742</v>
      </c>
      <c r="B129" s="12" t="str">
        <f>_xlfn.DISPIMG("ID_618BE566A7334D51AE723C5019C8533A",1)</f>
        <v>=DISPIMG("ID_618BE566A7334D51AE723C5019C8533A",1)</v>
      </c>
      <c r="C129" s="13">
        <v>3.2</v>
      </c>
      <c r="D129" s="13">
        <v>2.4</v>
      </c>
      <c r="E129" s="13">
        <v>3.4</v>
      </c>
      <c r="F129" s="13">
        <v>2.9</v>
      </c>
      <c r="G129" s="13">
        <v>2.1</v>
      </c>
      <c r="H129" s="13">
        <v>3.2</v>
      </c>
      <c r="I129" s="13">
        <v>2.2</v>
      </c>
      <c r="J129" s="13">
        <v>3.4</v>
      </c>
      <c r="K129" s="13">
        <v>19</v>
      </c>
      <c r="L129" s="13">
        <v>13</v>
      </c>
      <c r="M129" s="13">
        <v>11</v>
      </c>
      <c r="N129" s="13">
        <v>15</v>
      </c>
      <c r="O129" s="13">
        <v>2.3</v>
      </c>
      <c r="P129" s="13">
        <v>3.5</v>
      </c>
      <c r="Q129" s="13">
        <v>360</v>
      </c>
      <c r="R129"/>
      <c r="S129"/>
      <c r="T129"/>
      <c r="U129"/>
      <c r="V129"/>
      <c r="W129"/>
      <c r="X129"/>
      <c r="Y129"/>
      <c r="Z129"/>
      <c r="AA129"/>
      <c r="AB129"/>
    </row>
    <row r="130" s="7" customFormat="1" customHeight="1" spans="1:28">
      <c r="A130" s="14" t="s">
        <v>743</v>
      </c>
      <c r="B130" s="14" t="str">
        <f>_xlfn.DISPIMG("ID_7FD50E0488D24661996A443A0527A4D4",1)</f>
        <v>=DISPIMG("ID_7FD50E0488D24661996A443A0527A4D4",1)</v>
      </c>
      <c r="C130" s="15">
        <v>5.2</v>
      </c>
      <c r="D130" s="15">
        <v>5.2</v>
      </c>
      <c r="E130" s="15">
        <v>6.4</v>
      </c>
      <c r="F130" s="15">
        <v>4.7</v>
      </c>
      <c r="G130" s="15">
        <v>6.7</v>
      </c>
      <c r="H130" s="15">
        <v>8.1</v>
      </c>
      <c r="I130" s="15">
        <v>7.3</v>
      </c>
      <c r="J130" s="15">
        <v>7.8</v>
      </c>
      <c r="K130" s="15">
        <v>26</v>
      </c>
      <c r="L130" s="15">
        <v>38</v>
      </c>
      <c r="M130" s="15">
        <v>32</v>
      </c>
      <c r="N130" s="15">
        <v>46</v>
      </c>
      <c r="O130" s="15">
        <v>2.8</v>
      </c>
      <c r="P130" s="15">
        <v>4.5</v>
      </c>
      <c r="Q130" s="15">
        <v>280</v>
      </c>
      <c r="R130"/>
      <c r="S130"/>
      <c r="T130"/>
      <c r="U130"/>
      <c r="V130"/>
      <c r="W130"/>
      <c r="X130"/>
      <c r="Y130"/>
      <c r="Z130"/>
      <c r="AA130"/>
      <c r="AB130"/>
    </row>
    <row r="131" s="7" customFormat="1" customHeight="1" spans="1:28">
      <c r="A131" s="8" t="s">
        <v>744</v>
      </c>
      <c r="B131" s="8" t="str">
        <f>_xlfn.DISPIMG("ID_20F15E8919E743678E6BAB205B8936DE",1)</f>
        <v>=DISPIMG("ID_20F15E8919E743678E6BAB205B8936DE",1)</v>
      </c>
      <c r="C131" s="9">
        <v>3.8</v>
      </c>
      <c r="D131" s="9">
        <v>4</v>
      </c>
      <c r="E131" s="9">
        <v>2.6</v>
      </c>
      <c r="F131" s="9">
        <v>3.5</v>
      </c>
      <c r="G131" s="9">
        <v>4.7</v>
      </c>
      <c r="H131" s="9">
        <v>4.8</v>
      </c>
      <c r="I131" s="9">
        <v>4.9</v>
      </c>
      <c r="J131" s="9">
        <v>4.2</v>
      </c>
      <c r="K131" s="9">
        <v>19</v>
      </c>
      <c r="L131" s="9">
        <v>24</v>
      </c>
      <c r="M131" s="9">
        <v>29</v>
      </c>
      <c r="N131" s="9">
        <v>21</v>
      </c>
      <c r="O131" s="9">
        <v>2.3</v>
      </c>
      <c r="P131" s="9">
        <v>4</v>
      </c>
      <c r="Q131" s="9">
        <v>360</v>
      </c>
      <c r="R131"/>
      <c r="S131"/>
      <c r="T131"/>
      <c r="U131"/>
      <c r="V131"/>
      <c r="W131"/>
      <c r="X131"/>
      <c r="Y131"/>
      <c r="Z131"/>
      <c r="AA131"/>
      <c r="AB131"/>
    </row>
    <row r="132" s="7" customFormat="1" customHeight="1" spans="1:28">
      <c r="A132" s="10" t="s">
        <v>745</v>
      </c>
      <c r="B132" s="10" t="str">
        <f>_xlfn.DISPIMG("ID_7AD60522D4F64B689B59536856C080CC",1)</f>
        <v>=DISPIMG("ID_7AD60522D4F64B689B59536856C080CC",1)</v>
      </c>
      <c r="C132" s="11">
        <v>10.4</v>
      </c>
      <c r="D132" s="11">
        <v>10.4</v>
      </c>
      <c r="E132" s="11">
        <v>5.9</v>
      </c>
      <c r="F132" s="11">
        <v>9</v>
      </c>
      <c r="G132" s="11">
        <v>12.6</v>
      </c>
      <c r="H132" s="11">
        <v>13</v>
      </c>
      <c r="I132" s="11">
        <v>13.2</v>
      </c>
      <c r="J132" s="11">
        <v>10.4</v>
      </c>
      <c r="K132" s="11">
        <v>39</v>
      </c>
      <c r="L132" s="11">
        <v>51</v>
      </c>
      <c r="M132" s="11">
        <v>65</v>
      </c>
      <c r="N132" s="11">
        <v>42</v>
      </c>
      <c r="O132" s="11">
        <v>4.9</v>
      </c>
      <c r="P132" s="11">
        <v>7.6</v>
      </c>
      <c r="Q132" s="11">
        <v>280</v>
      </c>
      <c r="R132"/>
      <c r="S132"/>
      <c r="T132"/>
      <c r="U132"/>
      <c r="V132"/>
      <c r="W132"/>
      <c r="X132"/>
      <c r="Y132"/>
      <c r="Z132"/>
      <c r="AA132"/>
      <c r="AB132"/>
    </row>
    <row r="133" s="7" customFormat="1" customHeight="1" spans="1:28">
      <c r="A133" s="12" t="s">
        <v>746</v>
      </c>
      <c r="B133" s="12" t="str">
        <f>_xlfn.DISPIMG("ID_E031304D0FEE473DB2143F046EFBEDD0",1)</f>
        <v>=DISPIMG("ID_E031304D0FEE473DB2143F046EFBEDD0",1)</v>
      </c>
      <c r="C133" s="13">
        <v>2.3</v>
      </c>
      <c r="D133" s="13">
        <v>2.3</v>
      </c>
      <c r="E133" s="13">
        <v>1.2</v>
      </c>
      <c r="F133" s="13">
        <v>2</v>
      </c>
      <c r="G133" s="13">
        <v>2.9</v>
      </c>
      <c r="H133" s="13">
        <v>3</v>
      </c>
      <c r="I133" s="13">
        <v>3</v>
      </c>
      <c r="J133" s="13">
        <v>2.3</v>
      </c>
      <c r="K133" s="13">
        <v>16</v>
      </c>
      <c r="L133" s="13">
        <v>20</v>
      </c>
      <c r="M133" s="13">
        <v>24</v>
      </c>
      <c r="N133" s="13">
        <v>17</v>
      </c>
      <c r="O133" s="13">
        <v>0.8</v>
      </c>
      <c r="P133" s="13">
        <v>2.4</v>
      </c>
      <c r="Q133" s="13">
        <v>280</v>
      </c>
      <c r="R133"/>
      <c r="S133"/>
      <c r="T133"/>
      <c r="U133"/>
      <c r="V133"/>
      <c r="W133"/>
      <c r="X133"/>
      <c r="Y133"/>
      <c r="Z133"/>
      <c r="AA133"/>
      <c r="AB133"/>
    </row>
    <row r="134" s="7" customFormat="1" customHeight="1" spans="1:28">
      <c r="A134" s="14" t="s">
        <v>747</v>
      </c>
      <c r="B134" s="14" t="str">
        <f>_xlfn.DISPIMG("ID_3C5AC145DE9E44698CCEA7B88A2D4116",1)</f>
        <v>=DISPIMG("ID_3C5AC145DE9E44698CCEA7B88A2D4116",1)</v>
      </c>
      <c r="C134" s="15">
        <v>5.6</v>
      </c>
      <c r="D134" s="15">
        <v>5.6</v>
      </c>
      <c r="E134" s="15">
        <v>3.1</v>
      </c>
      <c r="F134" s="15">
        <v>4.8</v>
      </c>
      <c r="G134" s="15">
        <v>6.9</v>
      </c>
      <c r="H134" s="15">
        <v>7.1</v>
      </c>
      <c r="I134" s="15">
        <v>7.2</v>
      </c>
      <c r="J134" s="15">
        <v>5.6</v>
      </c>
      <c r="K134" s="15">
        <v>27</v>
      </c>
      <c r="L134" s="15">
        <v>35</v>
      </c>
      <c r="M134" s="15">
        <v>43</v>
      </c>
      <c r="N134" s="15">
        <v>29</v>
      </c>
      <c r="O134" s="15">
        <v>2.6</v>
      </c>
      <c r="P134" s="15">
        <v>4.6</v>
      </c>
      <c r="Q134" s="15">
        <v>280</v>
      </c>
      <c r="R134"/>
      <c r="S134"/>
      <c r="T134"/>
      <c r="U134"/>
      <c r="V134"/>
      <c r="W134"/>
      <c r="X134"/>
      <c r="Y134"/>
      <c r="Z134"/>
      <c r="AA134"/>
      <c r="AB134"/>
    </row>
    <row r="135" s="7" customFormat="1" customHeight="1" spans="1:28">
      <c r="A135" s="8" t="s">
        <v>748</v>
      </c>
      <c r="B135" s="8" t="str">
        <f>_xlfn.DISPIMG("ID_123E0AA2C57B4DE8925AD856B6ABC497",1)</f>
        <v>=DISPIMG("ID_123E0AA2C57B4DE8925AD856B6ABC497",1)</v>
      </c>
      <c r="C135" s="9">
        <v>3.1</v>
      </c>
      <c r="D135" s="9">
        <v>3.3</v>
      </c>
      <c r="E135" s="9">
        <v>3.6</v>
      </c>
      <c r="F135" s="9">
        <v>3.9</v>
      </c>
      <c r="G135" s="9">
        <v>2.7</v>
      </c>
      <c r="H135" s="9">
        <v>2.7</v>
      </c>
      <c r="I135" s="9">
        <v>2.7</v>
      </c>
      <c r="J135" s="9">
        <v>2.7</v>
      </c>
      <c r="K135" s="9">
        <v>27</v>
      </c>
      <c r="L135" s="9">
        <v>17</v>
      </c>
      <c r="M135" s="9">
        <v>16</v>
      </c>
      <c r="N135" s="9">
        <v>12</v>
      </c>
      <c r="O135" s="9">
        <v>3.5</v>
      </c>
      <c r="P135" s="9">
        <v>3.1</v>
      </c>
      <c r="Q135" s="9">
        <v>350</v>
      </c>
      <c r="R135"/>
      <c r="S135"/>
      <c r="T135"/>
      <c r="U135"/>
      <c r="V135"/>
      <c r="W135"/>
      <c r="X135"/>
      <c r="Y135"/>
      <c r="Z135"/>
      <c r="AA135"/>
      <c r="AB135"/>
    </row>
    <row r="136" s="7" customFormat="1" customHeight="1" spans="1:28">
      <c r="A136" s="10" t="s">
        <v>749</v>
      </c>
      <c r="B136" s="10" t="str">
        <f>_xlfn.DISPIMG("ID_FCB45D708AC04AD48713112E0309EB3B",1)</f>
        <v>=DISPIMG("ID_FCB45D708AC04AD48713112E0309EB3B",1)</v>
      </c>
      <c r="C136" s="11">
        <v>12.2</v>
      </c>
      <c r="D136" s="11">
        <v>12.2</v>
      </c>
      <c r="E136" s="11">
        <v>12.2</v>
      </c>
      <c r="F136" s="11">
        <v>12.2</v>
      </c>
      <c r="G136" s="11">
        <v>10.5</v>
      </c>
      <c r="H136" s="11">
        <v>9.1</v>
      </c>
      <c r="I136" s="11">
        <v>7.3</v>
      </c>
      <c r="J136" s="11">
        <v>10.5</v>
      </c>
      <c r="K136" s="11">
        <v>59</v>
      </c>
      <c r="L136" s="11">
        <v>39</v>
      </c>
      <c r="M136" s="11">
        <v>35</v>
      </c>
      <c r="N136" s="11">
        <v>26</v>
      </c>
      <c r="O136" s="11">
        <v>11.5</v>
      </c>
      <c r="P136" s="11">
        <v>10.8</v>
      </c>
      <c r="Q136" s="11">
        <v>370</v>
      </c>
      <c r="R136"/>
      <c r="S136"/>
      <c r="T136"/>
      <c r="U136"/>
      <c r="V136"/>
      <c r="W136"/>
      <c r="X136"/>
      <c r="Y136"/>
      <c r="Z136"/>
      <c r="AA136"/>
      <c r="AB136"/>
    </row>
    <row r="137" s="7" customFormat="1" customHeight="1" spans="1:28">
      <c r="A137" s="12" t="s">
        <v>750</v>
      </c>
      <c r="B137" s="12" t="str">
        <f>_xlfn.DISPIMG("ID_D94435F80E584959A4B8295D5D4C571D",1)</f>
        <v>=DISPIMG("ID_D94435F80E584959A4B8295D5D4C571D",1)</v>
      </c>
      <c r="C137" s="13">
        <v>1.4</v>
      </c>
      <c r="D137" s="13">
        <v>1.4</v>
      </c>
      <c r="E137" s="13">
        <v>0.8</v>
      </c>
      <c r="F137" s="13">
        <v>1.6</v>
      </c>
      <c r="G137" s="13">
        <v>0.6</v>
      </c>
      <c r="H137" s="13">
        <v>0.8</v>
      </c>
      <c r="I137" s="13">
        <v>0.8</v>
      </c>
      <c r="J137" s="13">
        <v>0.6</v>
      </c>
      <c r="K137" s="13">
        <v>15</v>
      </c>
      <c r="L137" s="13">
        <v>10</v>
      </c>
      <c r="M137" s="13">
        <v>11</v>
      </c>
      <c r="N137" s="13">
        <v>8</v>
      </c>
      <c r="O137" s="13">
        <v>0.3</v>
      </c>
      <c r="P137" s="13">
        <v>1.4</v>
      </c>
      <c r="Q137" s="13">
        <v>230</v>
      </c>
      <c r="R137"/>
      <c r="S137"/>
      <c r="T137"/>
      <c r="U137"/>
      <c r="V137"/>
      <c r="W137"/>
      <c r="X137"/>
      <c r="Y137"/>
      <c r="Z137"/>
      <c r="AA137"/>
      <c r="AB137"/>
    </row>
    <row r="138" s="7" customFormat="1" customHeight="1" spans="1:28">
      <c r="A138" s="14" t="s">
        <v>751</v>
      </c>
      <c r="B138" s="14" t="str">
        <f>_xlfn.DISPIMG("ID_4580E34FDD2F4D329BFA89105919BF8B",1)</f>
        <v>=DISPIMG("ID_4580E34FDD2F4D329BFA89105919BF8B",1)</v>
      </c>
      <c r="C138" s="15">
        <v>4.7</v>
      </c>
      <c r="D138" s="15">
        <v>5.1</v>
      </c>
      <c r="E138" s="15">
        <v>4.2</v>
      </c>
      <c r="F138" s="15">
        <v>4.7</v>
      </c>
      <c r="G138" s="15">
        <v>2.3</v>
      </c>
      <c r="H138" s="15">
        <v>3.7</v>
      </c>
      <c r="I138" s="15">
        <v>2.3</v>
      </c>
      <c r="J138" s="15">
        <v>2.3</v>
      </c>
      <c r="K138" s="15">
        <v>28</v>
      </c>
      <c r="L138" s="15">
        <v>17</v>
      </c>
      <c r="M138" s="15">
        <v>19</v>
      </c>
      <c r="N138" s="15">
        <v>9</v>
      </c>
      <c r="O138" s="15">
        <v>3.4</v>
      </c>
      <c r="P138" s="15">
        <v>3.6</v>
      </c>
      <c r="Q138" s="15">
        <v>260</v>
      </c>
      <c r="R138"/>
      <c r="S138"/>
      <c r="T138"/>
      <c r="U138"/>
      <c r="V138"/>
      <c r="W138"/>
      <c r="X138"/>
      <c r="Y138"/>
      <c r="Z138"/>
      <c r="AA138"/>
      <c r="AB138"/>
    </row>
    <row r="139" s="7" customFormat="1" customHeight="1" spans="1:28">
      <c r="A139" s="8" t="s">
        <v>752</v>
      </c>
      <c r="B139" s="8" t="str">
        <f>_xlfn.DISPIMG("ID_6194079D6CE34A7EA23D2FC826379C08",1)</f>
        <v>=DISPIMG("ID_6194079D6CE34A7EA23D2FC826379C08",1)</v>
      </c>
      <c r="C139" s="9">
        <v>4.7</v>
      </c>
      <c r="D139" s="9">
        <v>2.5</v>
      </c>
      <c r="E139" s="9">
        <v>4.6</v>
      </c>
      <c r="F139" s="9">
        <v>4.4</v>
      </c>
      <c r="G139" s="9">
        <v>2.6</v>
      </c>
      <c r="H139" s="9">
        <v>4.4</v>
      </c>
      <c r="I139" s="9">
        <v>1.8</v>
      </c>
      <c r="J139" s="9">
        <v>1.4</v>
      </c>
      <c r="K139" s="9">
        <v>20</v>
      </c>
      <c r="L139" s="9">
        <v>12</v>
      </c>
      <c r="M139" s="9">
        <v>16</v>
      </c>
      <c r="N139" s="9">
        <v>8</v>
      </c>
      <c r="O139" s="9">
        <v>4.1</v>
      </c>
      <c r="P139" s="9">
        <v>4.1</v>
      </c>
      <c r="Q139" s="9">
        <v>350</v>
      </c>
      <c r="R139"/>
      <c r="S139"/>
      <c r="T139"/>
      <c r="U139"/>
      <c r="V139"/>
      <c r="W139"/>
      <c r="X139"/>
      <c r="Y139"/>
      <c r="Z139"/>
      <c r="AA139"/>
      <c r="AB139"/>
    </row>
    <row r="140" s="7" customFormat="1" customHeight="1" spans="1:28">
      <c r="A140" s="10" t="s">
        <v>753</v>
      </c>
      <c r="B140" s="10" t="str">
        <f>_xlfn.DISPIMG("ID_BF4B0AAE177F4632AB1AB28AA5457C51",1)</f>
        <v>=DISPIMG("ID_BF4B0AAE177F4632AB1AB28AA5457C51",1)</v>
      </c>
      <c r="C140" s="11">
        <v>11.9</v>
      </c>
      <c r="D140" s="11">
        <v>8</v>
      </c>
      <c r="E140" s="11">
        <v>12.6</v>
      </c>
      <c r="F140" s="11">
        <v>10.2</v>
      </c>
      <c r="G140" s="11">
        <v>6.9</v>
      </c>
      <c r="H140" s="11">
        <v>10.7</v>
      </c>
      <c r="I140" s="11">
        <v>5.5</v>
      </c>
      <c r="J140" s="11">
        <v>5.5</v>
      </c>
      <c r="K140" s="11">
        <v>47</v>
      </c>
      <c r="L140" s="11">
        <v>30</v>
      </c>
      <c r="M140" s="11">
        <v>43</v>
      </c>
      <c r="N140" s="11">
        <v>19</v>
      </c>
      <c r="O140" s="11">
        <v>8.9</v>
      </c>
      <c r="P140" s="11">
        <v>8.6</v>
      </c>
      <c r="Q140" s="11">
        <v>350</v>
      </c>
      <c r="R140"/>
      <c r="S140"/>
      <c r="T140"/>
      <c r="U140"/>
      <c r="V140"/>
      <c r="W140"/>
      <c r="X140"/>
      <c r="Y140"/>
      <c r="Z140"/>
      <c r="AA140"/>
      <c r="AB140"/>
    </row>
    <row r="141" s="7" customFormat="1" customHeight="1" spans="1:28">
      <c r="A141" s="12" t="s">
        <v>754</v>
      </c>
      <c r="B141" s="12" t="str">
        <f>_xlfn.DISPIMG("ID_B56206F128184ADD80FA457652CCB684",1)</f>
        <v>=DISPIMG("ID_B56206F128184ADD80FA457652CCB684",1)</v>
      </c>
      <c r="C141" s="13">
        <v>2.3</v>
      </c>
      <c r="D141" s="13">
        <v>2.1</v>
      </c>
      <c r="E141" s="13">
        <v>2.7</v>
      </c>
      <c r="F141" s="13">
        <v>1.9</v>
      </c>
      <c r="G141" s="13">
        <v>3</v>
      </c>
      <c r="H141" s="13">
        <v>3.3</v>
      </c>
      <c r="I141" s="13">
        <v>3.1</v>
      </c>
      <c r="J141" s="13">
        <v>2.5</v>
      </c>
      <c r="K141" s="13">
        <v>16</v>
      </c>
      <c r="L141" s="13">
        <v>22</v>
      </c>
      <c r="M141" s="13">
        <v>24</v>
      </c>
      <c r="N141" s="13">
        <v>21</v>
      </c>
      <c r="O141" s="13">
        <v>1.4</v>
      </c>
      <c r="P141" s="13">
        <v>2.7</v>
      </c>
      <c r="Q141" s="13">
        <v>280</v>
      </c>
      <c r="R141"/>
      <c r="S141"/>
      <c r="T141"/>
      <c r="U141"/>
      <c r="V141"/>
      <c r="W141"/>
      <c r="X141"/>
      <c r="Y141"/>
      <c r="Z141"/>
      <c r="AA141"/>
      <c r="AB141"/>
    </row>
    <row r="142" s="7" customFormat="1" customHeight="1" spans="1:28">
      <c r="A142" s="14" t="s">
        <v>755</v>
      </c>
      <c r="B142" s="14" t="str">
        <f>_xlfn.DISPIMG("ID_6266B43F113245FC9CA43D978C4174A8",1)</f>
        <v>=DISPIMG("ID_6266B43F113245FC9CA43D978C4174A8",1)</v>
      </c>
      <c r="C142" s="15">
        <v>5.4</v>
      </c>
      <c r="D142" s="15">
        <v>5</v>
      </c>
      <c r="E142" s="15">
        <v>6.2</v>
      </c>
      <c r="F142" s="15">
        <v>4.5</v>
      </c>
      <c r="G142" s="15">
        <v>6</v>
      </c>
      <c r="H142" s="15">
        <v>7.3</v>
      </c>
      <c r="I142" s="15">
        <v>7</v>
      </c>
      <c r="J142" s="15">
        <v>5.6</v>
      </c>
      <c r="K142" s="15">
        <v>28</v>
      </c>
      <c r="L142" s="15">
        <v>40</v>
      </c>
      <c r="M142" s="15">
        <v>44</v>
      </c>
      <c r="N142" s="15">
        <v>37</v>
      </c>
      <c r="O142" s="15">
        <v>3.5</v>
      </c>
      <c r="P142" s="15">
        <v>4.8</v>
      </c>
      <c r="Q142" s="15">
        <v>280</v>
      </c>
      <c r="R142"/>
      <c r="S142"/>
      <c r="T142"/>
      <c r="U142"/>
      <c r="V142"/>
      <c r="W142"/>
      <c r="X142"/>
      <c r="Y142"/>
      <c r="Z142"/>
      <c r="AA142"/>
      <c r="AB142"/>
    </row>
    <row r="143" s="7" customFormat="1" customHeight="1" spans="1:28">
      <c r="A143" s="8" t="s">
        <v>756</v>
      </c>
      <c r="B143" s="8" t="str">
        <f>_xlfn.DISPIMG("ID_0F432AB0DDF54096B54347F5EA908EC5",1)</f>
        <v>=DISPIMG("ID_0F432AB0DDF54096B54347F5EA908EC5",1)</v>
      </c>
      <c r="C143" s="9">
        <v>1.7</v>
      </c>
      <c r="D143" s="9">
        <v>1.2</v>
      </c>
      <c r="E143" s="9">
        <v>1.2</v>
      </c>
      <c r="F143" s="9">
        <v>1.3</v>
      </c>
      <c r="G143" s="9">
        <v>5.2</v>
      </c>
      <c r="H143" s="9">
        <v>4.7</v>
      </c>
      <c r="I143" s="9">
        <v>4.8</v>
      </c>
      <c r="J143" s="9">
        <v>5.3</v>
      </c>
      <c r="K143" s="9">
        <v>7</v>
      </c>
      <c r="L143" s="9">
        <v>14</v>
      </c>
      <c r="M143" s="9">
        <v>10</v>
      </c>
      <c r="N143" s="9">
        <v>30</v>
      </c>
      <c r="O143" s="9">
        <v>0.7</v>
      </c>
      <c r="P143" s="9">
        <v>1.8</v>
      </c>
      <c r="Q143" s="9">
        <v>230</v>
      </c>
      <c r="R143"/>
      <c r="S143"/>
      <c r="T143"/>
      <c r="U143"/>
      <c r="V143"/>
      <c r="W143"/>
      <c r="X143"/>
      <c r="Y143"/>
      <c r="Z143"/>
      <c r="AA143"/>
      <c r="AB143"/>
    </row>
    <row r="144" s="7" customFormat="1" customHeight="1" spans="1:28">
      <c r="A144" s="10" t="s">
        <v>757</v>
      </c>
      <c r="B144" s="10" t="str">
        <f>_xlfn.DISPIMG("ID_B2B69D82A2664D6984C408D96351E907",1)</f>
        <v>=DISPIMG("ID_B2B69D82A2664D6984C408D96351E907",1)</v>
      </c>
      <c r="C144" s="11">
        <v>11.7</v>
      </c>
      <c r="D144" s="11">
        <v>9.1</v>
      </c>
      <c r="E144" s="11">
        <v>12.2</v>
      </c>
      <c r="F144" s="11">
        <v>11.7</v>
      </c>
      <c r="G144" s="11">
        <v>11.2</v>
      </c>
      <c r="H144" s="11">
        <v>9.8</v>
      </c>
      <c r="I144" s="11">
        <v>6</v>
      </c>
      <c r="J144" s="11">
        <v>11.7</v>
      </c>
      <c r="K144" s="11">
        <v>43</v>
      </c>
      <c r="L144" s="11">
        <v>25</v>
      </c>
      <c r="M144" s="11">
        <v>33</v>
      </c>
      <c r="N144" s="11">
        <v>37</v>
      </c>
      <c r="O144" s="11">
        <v>8.5</v>
      </c>
      <c r="P144" s="11">
        <v>9.2</v>
      </c>
      <c r="Q144" s="11">
        <v>360</v>
      </c>
      <c r="R144"/>
      <c r="S144"/>
      <c r="T144"/>
      <c r="U144"/>
      <c r="V144"/>
      <c r="W144"/>
      <c r="X144"/>
      <c r="Y144"/>
      <c r="Z144"/>
      <c r="AA144"/>
      <c r="AB144"/>
    </row>
    <row r="145" s="7" customFormat="1" customHeight="1" spans="1:28">
      <c r="A145" s="12" t="s">
        <v>758</v>
      </c>
      <c r="B145" s="12" t="str">
        <f>_xlfn.DISPIMG("ID_4ABDB7DE1E684320A889603B98779551",1)</f>
        <v>=DISPIMG("ID_4ABDB7DE1E684320A889603B98779551",1)</v>
      </c>
      <c r="C145" s="13">
        <v>2.6</v>
      </c>
      <c r="D145" s="13">
        <v>2</v>
      </c>
      <c r="E145" s="13">
        <v>2.8</v>
      </c>
      <c r="F145" s="13">
        <v>2.6</v>
      </c>
      <c r="G145" s="13">
        <v>2.5</v>
      </c>
      <c r="H145" s="13">
        <v>2.2</v>
      </c>
      <c r="I145" s="13">
        <v>1.4</v>
      </c>
      <c r="J145" s="13">
        <v>2.6</v>
      </c>
      <c r="K145" s="13">
        <v>13</v>
      </c>
      <c r="L145" s="13">
        <v>7</v>
      </c>
      <c r="M145" s="13">
        <v>9</v>
      </c>
      <c r="N145" s="13">
        <v>7</v>
      </c>
      <c r="O145" s="13">
        <v>1.7</v>
      </c>
      <c r="P145" s="13">
        <v>3.6</v>
      </c>
      <c r="Q145" s="13">
        <v>370</v>
      </c>
      <c r="R145"/>
      <c r="S145"/>
      <c r="T145"/>
      <c r="U145"/>
      <c r="V145"/>
      <c r="W145"/>
      <c r="X145"/>
      <c r="Y145"/>
      <c r="Z145"/>
      <c r="AA145"/>
      <c r="AB145"/>
    </row>
    <row r="146" s="7" customFormat="1" customHeight="1" spans="1:28">
      <c r="A146" s="14" t="s">
        <v>759</v>
      </c>
      <c r="B146" s="14" t="str">
        <f>_xlfn.DISPIMG("ID_F8B1FED79BA246988F93454681C4A9AF",1)</f>
        <v>=DISPIMG("ID_F8B1FED79BA246988F93454681C4A9AF",1)</v>
      </c>
      <c r="C146" s="15">
        <v>6.2</v>
      </c>
      <c r="D146" s="15">
        <v>4.7</v>
      </c>
      <c r="E146" s="15">
        <v>6.5</v>
      </c>
      <c r="F146" s="15">
        <v>6.2</v>
      </c>
      <c r="G146" s="15">
        <v>5.9</v>
      </c>
      <c r="H146" s="15">
        <v>5.1</v>
      </c>
      <c r="I146" s="15">
        <v>2.9</v>
      </c>
      <c r="J146" s="15">
        <v>6.2</v>
      </c>
      <c r="K146" s="15">
        <v>27</v>
      </c>
      <c r="L146" s="15">
        <v>18</v>
      </c>
      <c r="M146" s="15">
        <v>21</v>
      </c>
      <c r="N146" s="15">
        <v>18</v>
      </c>
      <c r="O146" s="15">
        <v>4.7</v>
      </c>
      <c r="P146" s="15">
        <v>5.7</v>
      </c>
      <c r="Q146" s="15">
        <v>360</v>
      </c>
      <c r="R146"/>
      <c r="S146"/>
      <c r="T146"/>
      <c r="U146"/>
      <c r="V146"/>
      <c r="W146"/>
      <c r="X146"/>
      <c r="Y146"/>
      <c r="Z146"/>
      <c r="AA146"/>
      <c r="AB146"/>
    </row>
    <row r="147" s="7" customFormat="1" customHeight="1" spans="1:28">
      <c r="A147" s="8" t="s">
        <v>760</v>
      </c>
      <c r="B147" s="8" t="str">
        <f>_xlfn.DISPIMG("ID_CB6BA99DDAB64856B7E725A35B06781F",1)</f>
        <v>=DISPIMG("ID_CB6BA99DDAB64856B7E725A35B06781F",1)</v>
      </c>
      <c r="C147" s="9">
        <v>3.8</v>
      </c>
      <c r="D147" s="9">
        <v>2.2</v>
      </c>
      <c r="E147" s="9">
        <v>4.3</v>
      </c>
      <c r="F147" s="9">
        <v>3.4</v>
      </c>
      <c r="G147" s="9">
        <v>2.6</v>
      </c>
      <c r="H147" s="9">
        <v>2</v>
      </c>
      <c r="I147" s="9">
        <v>1.1</v>
      </c>
      <c r="J147" s="9">
        <v>2.9</v>
      </c>
      <c r="K147" s="9">
        <v>28</v>
      </c>
      <c r="L147" s="9">
        <v>15</v>
      </c>
      <c r="M147" s="9">
        <v>15</v>
      </c>
      <c r="N147" s="9">
        <v>11</v>
      </c>
      <c r="O147" s="9">
        <v>1.9</v>
      </c>
      <c r="P147" s="9">
        <v>3.9</v>
      </c>
      <c r="Q147" s="9">
        <v>350</v>
      </c>
      <c r="R147"/>
      <c r="S147"/>
      <c r="T147"/>
      <c r="U147"/>
      <c r="V147"/>
      <c r="W147"/>
      <c r="X147"/>
      <c r="Y147"/>
      <c r="Z147"/>
      <c r="AA147"/>
      <c r="AB147"/>
    </row>
    <row r="148" s="7" customFormat="1" customHeight="1" spans="1:28">
      <c r="A148" s="10" t="s">
        <v>761</v>
      </c>
      <c r="B148" s="10" t="str">
        <f>_xlfn.DISPIMG("ID_C8AC39F39A3A45D6953448F6250BED5A",1)</f>
        <v>=DISPIMG("ID_C8AC39F39A3A45D6953448F6250BED5A",1)</v>
      </c>
      <c r="C148" s="11">
        <v>11.1</v>
      </c>
      <c r="D148" s="11">
        <v>6.8</v>
      </c>
      <c r="E148" s="11">
        <v>12.6</v>
      </c>
      <c r="F148" s="11">
        <v>10</v>
      </c>
      <c r="G148" s="11">
        <v>8.3</v>
      </c>
      <c r="H148" s="11">
        <v>6.6</v>
      </c>
      <c r="I148" s="11">
        <v>4.2</v>
      </c>
      <c r="J148" s="11">
        <v>9</v>
      </c>
      <c r="K148" s="11">
        <v>63</v>
      </c>
      <c r="L148" s="11">
        <v>33</v>
      </c>
      <c r="M148" s="11">
        <v>33</v>
      </c>
      <c r="N148" s="11">
        <v>22</v>
      </c>
      <c r="O148" s="11">
        <v>6.8</v>
      </c>
      <c r="P148" s="11">
        <v>8.8</v>
      </c>
      <c r="Q148" s="11">
        <v>350</v>
      </c>
      <c r="R148"/>
      <c r="S148"/>
      <c r="T148"/>
      <c r="U148"/>
      <c r="V148"/>
      <c r="W148"/>
      <c r="X148"/>
      <c r="Y148"/>
      <c r="Z148"/>
      <c r="AA148"/>
      <c r="AB148"/>
    </row>
    <row r="149" s="7" customFormat="1" customHeight="1" spans="1:28">
      <c r="A149" s="12" t="s">
        <v>762</v>
      </c>
      <c r="B149" s="12" t="str">
        <f>_xlfn.DISPIMG("ID_0BB3C8C8D8344719816C44C58225B508",1)</f>
        <v>=DISPIMG("ID_0BB3C8C8D8344719816C44C58225B508",1)</v>
      </c>
      <c r="C149" s="13">
        <v>2.2</v>
      </c>
      <c r="D149" s="13">
        <v>2</v>
      </c>
      <c r="E149" s="13">
        <v>2.9</v>
      </c>
      <c r="F149" s="13">
        <v>2</v>
      </c>
      <c r="G149" s="13">
        <v>3.2</v>
      </c>
      <c r="H149" s="13">
        <v>2.6</v>
      </c>
      <c r="I149" s="13">
        <v>3.2</v>
      </c>
      <c r="J149" s="13">
        <v>3.3</v>
      </c>
      <c r="K149" s="13">
        <v>18</v>
      </c>
      <c r="L149" s="13">
        <v>18</v>
      </c>
      <c r="M149" s="13">
        <v>16</v>
      </c>
      <c r="N149" s="13">
        <v>16</v>
      </c>
      <c r="O149" s="13">
        <v>1.1</v>
      </c>
      <c r="P149" s="13">
        <v>2.5</v>
      </c>
      <c r="Q149" s="13">
        <v>270</v>
      </c>
      <c r="R149"/>
      <c r="S149"/>
      <c r="T149"/>
      <c r="U149"/>
      <c r="V149"/>
      <c r="W149"/>
      <c r="X149"/>
      <c r="Y149"/>
      <c r="Z149"/>
      <c r="AA149"/>
      <c r="AB149"/>
    </row>
    <row r="150" s="7" customFormat="1" customHeight="1" spans="1:28">
      <c r="A150" s="14" t="s">
        <v>763</v>
      </c>
      <c r="B150" s="14" t="str">
        <f>_xlfn.DISPIMG("ID_C4E4F9DB23FD4D9E970B28253669D4CA",1)</f>
        <v>=DISPIMG("ID_C4E4F9DB23FD4D9E970B28253669D4CA",1)</v>
      </c>
      <c r="C150" s="15">
        <v>6.7</v>
      </c>
      <c r="D150" s="15">
        <v>4.2</v>
      </c>
      <c r="E150" s="15">
        <v>7.6</v>
      </c>
      <c r="F150" s="15">
        <v>6</v>
      </c>
      <c r="G150" s="15">
        <v>5.5</v>
      </c>
      <c r="H150" s="15">
        <v>4.5</v>
      </c>
      <c r="I150" s="15">
        <v>3.1</v>
      </c>
      <c r="J150" s="15">
        <v>5.9</v>
      </c>
      <c r="K150" s="15">
        <v>36</v>
      </c>
      <c r="L150" s="15">
        <v>17</v>
      </c>
      <c r="M150" s="15">
        <v>17</v>
      </c>
      <c r="N150" s="15">
        <v>10</v>
      </c>
      <c r="O150" s="15">
        <v>4.9</v>
      </c>
      <c r="P150" s="15">
        <v>5.1</v>
      </c>
      <c r="Q150" s="15">
        <v>350</v>
      </c>
      <c r="R150"/>
      <c r="S150"/>
      <c r="T150"/>
      <c r="U150"/>
      <c r="V150"/>
      <c r="W150"/>
      <c r="X150"/>
      <c r="Y150"/>
      <c r="Z150"/>
      <c r="AA150"/>
      <c r="AB150"/>
    </row>
    <row r="151" s="7" customFormat="1" customHeight="1" spans="1:28">
      <c r="A151" s="8" t="s">
        <v>764</v>
      </c>
      <c r="B151" s="8" t="str">
        <f>_xlfn.DISPIMG("ID_F90C1220C9D041B29C70D109BC0FC894",1)</f>
        <v>=DISPIMG("ID_F90C1220C9D041B29C70D109BC0FC894",1)</v>
      </c>
      <c r="C151" s="9">
        <v>4.2</v>
      </c>
      <c r="D151" s="9">
        <v>2.5</v>
      </c>
      <c r="E151" s="9">
        <v>4.2</v>
      </c>
      <c r="F151" s="9">
        <v>4</v>
      </c>
      <c r="G151" s="9">
        <v>3.5</v>
      </c>
      <c r="H151" s="9">
        <v>3.2</v>
      </c>
      <c r="I151" s="9">
        <v>1.6</v>
      </c>
      <c r="J151" s="9">
        <v>3.2</v>
      </c>
      <c r="K151" s="9">
        <v>24</v>
      </c>
      <c r="L151" s="9">
        <v>14</v>
      </c>
      <c r="M151" s="9">
        <v>17</v>
      </c>
      <c r="N151" s="9">
        <v>10</v>
      </c>
      <c r="O151" s="9">
        <v>3.4</v>
      </c>
      <c r="P151" s="9">
        <v>3.7</v>
      </c>
      <c r="Q151" s="9">
        <v>350</v>
      </c>
      <c r="R151"/>
      <c r="S151"/>
      <c r="T151"/>
      <c r="U151"/>
      <c r="V151"/>
      <c r="W151"/>
      <c r="X151"/>
      <c r="Y151"/>
      <c r="Z151"/>
      <c r="AA151"/>
      <c r="AB151"/>
    </row>
    <row r="152" s="7" customFormat="1" customHeight="1" spans="1:28">
      <c r="A152" s="10" t="s">
        <v>765</v>
      </c>
      <c r="B152" s="10" t="str">
        <f>_xlfn.DISPIMG("ID_0D66478050CD4B04B74DDC6A908D3408",1)</f>
        <v>=DISPIMG("ID_0D66478050CD4B04B74DDC6A908D3408",1)</v>
      </c>
      <c r="C152" s="11">
        <v>12.4</v>
      </c>
      <c r="D152" s="11">
        <v>8</v>
      </c>
      <c r="E152" s="11">
        <v>12.6</v>
      </c>
      <c r="F152" s="11">
        <v>11.9</v>
      </c>
      <c r="G152" s="11">
        <v>9.2</v>
      </c>
      <c r="H152" s="11">
        <v>8.4</v>
      </c>
      <c r="I152" s="11">
        <v>3.8</v>
      </c>
      <c r="J152" s="11">
        <v>8.4</v>
      </c>
      <c r="K152" s="11">
        <v>52</v>
      </c>
      <c r="L152" s="11">
        <v>30</v>
      </c>
      <c r="M152" s="11">
        <v>36</v>
      </c>
      <c r="N152" s="11">
        <v>19</v>
      </c>
      <c r="O152" s="11">
        <v>9.5</v>
      </c>
      <c r="P152" s="11">
        <v>8.6</v>
      </c>
      <c r="Q152" s="11">
        <v>350</v>
      </c>
      <c r="R152"/>
      <c r="S152"/>
      <c r="T152"/>
      <c r="U152"/>
      <c r="V152"/>
      <c r="W152"/>
      <c r="X152"/>
      <c r="Y152"/>
      <c r="Z152"/>
      <c r="AA152"/>
      <c r="AB152"/>
    </row>
    <row r="153" s="7" customFormat="1" customHeight="1" spans="1:28">
      <c r="A153" s="12" t="s">
        <v>766</v>
      </c>
      <c r="B153" s="12" t="str">
        <f>_xlfn.DISPIMG("ID_3D66DB1462984BF69B861F7DEA2528E2",1)</f>
        <v>=DISPIMG("ID_3D66DB1462984BF69B861F7DEA2528E2",1)</v>
      </c>
      <c r="C153" s="13">
        <v>3.1</v>
      </c>
      <c r="D153" s="13">
        <v>2.1</v>
      </c>
      <c r="E153" s="13">
        <v>3.1</v>
      </c>
      <c r="F153" s="13">
        <v>2.9</v>
      </c>
      <c r="G153" s="13">
        <v>1.7</v>
      </c>
      <c r="H153" s="13">
        <v>2.1</v>
      </c>
      <c r="I153" s="13">
        <v>0.7</v>
      </c>
      <c r="J153" s="13">
        <v>1.5</v>
      </c>
      <c r="K153" s="13">
        <v>16</v>
      </c>
      <c r="L153" s="13">
        <v>12</v>
      </c>
      <c r="M153" s="13">
        <v>12</v>
      </c>
      <c r="N153" s="13">
        <v>8</v>
      </c>
      <c r="O153" s="13">
        <v>1.6</v>
      </c>
      <c r="P153" s="13">
        <v>2.9</v>
      </c>
      <c r="Q153" s="13">
        <v>350</v>
      </c>
      <c r="R153"/>
      <c r="S153"/>
      <c r="T153"/>
      <c r="U153"/>
      <c r="V153"/>
      <c r="W153"/>
      <c r="X153"/>
      <c r="Y153"/>
      <c r="Z153"/>
      <c r="AA153"/>
      <c r="AB153"/>
    </row>
    <row r="154" s="7" customFormat="1" customHeight="1" spans="1:28">
      <c r="A154" s="14" t="s">
        <v>767</v>
      </c>
      <c r="B154" s="14" t="str">
        <f>_xlfn.DISPIMG("ID_E07BE896114E4A3583B4F7864578343E",1)</f>
        <v>=DISPIMG("ID_E07BE896114E4A3583B4F7864578343E",1)</v>
      </c>
      <c r="C154" s="15">
        <v>7.1</v>
      </c>
      <c r="D154" s="15">
        <v>6.5</v>
      </c>
      <c r="E154" s="15">
        <v>6.8</v>
      </c>
      <c r="F154" s="15">
        <v>6.5</v>
      </c>
      <c r="G154" s="15">
        <v>4.6</v>
      </c>
      <c r="H154" s="15">
        <v>4.6</v>
      </c>
      <c r="I154" s="15">
        <v>1.8</v>
      </c>
      <c r="J154" s="15">
        <v>4.1</v>
      </c>
      <c r="K154" s="15">
        <v>26</v>
      </c>
      <c r="L154" s="15">
        <v>20</v>
      </c>
      <c r="M154" s="15">
        <v>20</v>
      </c>
      <c r="N154" s="15">
        <v>11</v>
      </c>
      <c r="O154" s="15">
        <v>5.1</v>
      </c>
      <c r="P154" s="15">
        <v>5.3</v>
      </c>
      <c r="Q154" s="15">
        <v>350</v>
      </c>
      <c r="R154"/>
      <c r="S154"/>
      <c r="T154"/>
      <c r="U154"/>
      <c r="V154"/>
      <c r="W154"/>
      <c r="X154"/>
      <c r="Y154"/>
      <c r="Z154"/>
      <c r="AA154"/>
      <c r="AB154"/>
    </row>
    <row r="155" s="7" customFormat="1" customHeight="1" spans="1:28">
      <c r="A155" s="8" t="s">
        <v>768</v>
      </c>
      <c r="B155" s="8" t="str">
        <f>_xlfn.DISPIMG("ID_5DB02719EE7A4119B6B3E5B3A4618D15",1)</f>
        <v>=DISPIMG("ID_5DB02719EE7A4119B6B3E5B3A4618D15",1)</v>
      </c>
      <c r="C155" s="9">
        <v>3.7</v>
      </c>
      <c r="D155" s="9">
        <v>2.6</v>
      </c>
      <c r="E155" s="9">
        <v>4.5</v>
      </c>
      <c r="F155" s="9">
        <v>3.9</v>
      </c>
      <c r="G155" s="9">
        <v>2.3</v>
      </c>
      <c r="H155" s="9">
        <v>2.3</v>
      </c>
      <c r="I155" s="9">
        <v>2.3</v>
      </c>
      <c r="J155" s="9">
        <v>1.8</v>
      </c>
      <c r="K155" s="9">
        <v>30</v>
      </c>
      <c r="L155" s="9">
        <v>13</v>
      </c>
      <c r="M155" s="9">
        <v>15</v>
      </c>
      <c r="N155" s="9">
        <v>11</v>
      </c>
      <c r="O155" s="9">
        <v>2.2</v>
      </c>
      <c r="P155" s="9">
        <v>3.8</v>
      </c>
      <c r="Q155" s="9">
        <v>350</v>
      </c>
      <c r="R155"/>
      <c r="S155"/>
      <c r="T155"/>
      <c r="U155"/>
      <c r="V155"/>
      <c r="W155"/>
      <c r="X155"/>
      <c r="Y155"/>
      <c r="Z155"/>
      <c r="AA155"/>
      <c r="AB155"/>
    </row>
    <row r="156" s="7" customFormat="1" customHeight="1" spans="1:28">
      <c r="A156" s="10" t="s">
        <v>769</v>
      </c>
      <c r="B156" s="10" t="str">
        <f>_xlfn.DISPIMG("ID_3D55597218E34A0DAF4032C01AAA308E",1)</f>
        <v>=DISPIMG("ID_3D55597218E34A0DAF4032C01AAA308E",1)</v>
      </c>
      <c r="C156" s="11">
        <v>11</v>
      </c>
      <c r="D156" s="11">
        <v>8.1</v>
      </c>
      <c r="E156" s="11">
        <v>13.1</v>
      </c>
      <c r="F156" s="11">
        <v>11.5</v>
      </c>
      <c r="G156" s="11">
        <v>7.3</v>
      </c>
      <c r="H156" s="11">
        <v>7.3</v>
      </c>
      <c r="I156" s="11">
        <v>7.3</v>
      </c>
      <c r="J156" s="11">
        <v>5.9</v>
      </c>
      <c r="K156" s="11">
        <v>66</v>
      </c>
      <c r="L156" s="11">
        <v>27</v>
      </c>
      <c r="M156" s="11">
        <v>33</v>
      </c>
      <c r="N156" s="11">
        <v>22</v>
      </c>
      <c r="O156" s="11">
        <v>7.5</v>
      </c>
      <c r="P156" s="11">
        <v>8.5</v>
      </c>
      <c r="Q156" s="11">
        <v>350</v>
      </c>
      <c r="R156"/>
      <c r="S156"/>
      <c r="T156"/>
      <c r="U156"/>
      <c r="V156"/>
      <c r="W156"/>
      <c r="X156"/>
      <c r="Y156"/>
      <c r="Z156"/>
      <c r="AA156"/>
      <c r="AB156"/>
    </row>
    <row r="157" s="7" customFormat="1" customHeight="1" spans="1:28">
      <c r="A157" s="12" t="s">
        <v>770</v>
      </c>
      <c r="B157" s="12" t="str">
        <f>_xlfn.DISPIMG("ID_D5A1B8BC820A4A68999AE38507ECB49D",1)</f>
        <v>=DISPIMG("ID_D5A1B8BC820A4A68999AE38507ECB49D",1)</v>
      </c>
      <c r="C157" s="13">
        <v>2.8</v>
      </c>
      <c r="D157" s="13">
        <v>2.1</v>
      </c>
      <c r="E157" s="13">
        <v>3.4</v>
      </c>
      <c r="F157" s="13">
        <v>2.9</v>
      </c>
      <c r="G157" s="13">
        <v>1.9</v>
      </c>
      <c r="H157" s="13">
        <v>1.9</v>
      </c>
      <c r="I157" s="13">
        <v>1.9</v>
      </c>
      <c r="J157" s="13">
        <v>1.6</v>
      </c>
      <c r="K157" s="13">
        <v>21</v>
      </c>
      <c r="L157" s="13">
        <v>8</v>
      </c>
      <c r="M157" s="13">
        <v>10</v>
      </c>
      <c r="N157" s="13">
        <v>7</v>
      </c>
      <c r="O157" s="13">
        <v>1.8</v>
      </c>
      <c r="P157" s="13">
        <v>2.8</v>
      </c>
      <c r="Q157" s="13">
        <v>350</v>
      </c>
      <c r="R157"/>
      <c r="S157"/>
      <c r="T157"/>
      <c r="U157"/>
      <c r="V157"/>
      <c r="W157"/>
      <c r="X157"/>
      <c r="Y157"/>
      <c r="Z157"/>
      <c r="AA157"/>
      <c r="AB157"/>
    </row>
    <row r="158" s="7" customFormat="1" customHeight="1" spans="1:28">
      <c r="A158" s="14" t="s">
        <v>771</v>
      </c>
      <c r="B158" s="14" t="str">
        <f>_xlfn.DISPIMG("ID_43CC73C7B4B84958B23D30BB84B575BD",1)</f>
        <v>=DISPIMG("ID_43CC73C7B4B84958B23D30BB84B575BD",1)</v>
      </c>
      <c r="C158" s="15">
        <v>6</v>
      </c>
      <c r="D158" s="15">
        <v>4.3</v>
      </c>
      <c r="E158" s="15">
        <v>7.3</v>
      </c>
      <c r="F158" s="15">
        <v>6.3</v>
      </c>
      <c r="G158" s="15">
        <v>3.8</v>
      </c>
      <c r="H158" s="15">
        <v>3.8</v>
      </c>
      <c r="I158" s="15">
        <v>3.8</v>
      </c>
      <c r="J158" s="15">
        <v>3</v>
      </c>
      <c r="K158" s="15">
        <v>42</v>
      </c>
      <c r="L158" s="15">
        <v>18</v>
      </c>
      <c r="M158" s="15">
        <v>22</v>
      </c>
      <c r="N158" s="15">
        <v>15</v>
      </c>
      <c r="O158" s="15">
        <v>4.2</v>
      </c>
      <c r="P158" s="15">
        <v>5.4</v>
      </c>
      <c r="Q158" s="15">
        <v>350</v>
      </c>
      <c r="R158"/>
      <c r="S158"/>
      <c r="T158"/>
      <c r="U158"/>
      <c r="V158"/>
      <c r="W158"/>
      <c r="X158"/>
      <c r="Y158"/>
      <c r="Z158"/>
      <c r="AA158"/>
      <c r="AB158"/>
    </row>
    <row r="159" s="7" customFormat="1" customHeight="1" spans="1:28">
      <c r="A159" s="8" t="s">
        <v>772</v>
      </c>
      <c r="B159" s="8" t="str">
        <f>_xlfn.DISPIMG("ID_3790A179563B44B09A20145B65DC76F6",1)</f>
        <v>=DISPIMG("ID_3790A179563B44B09A20145B65DC76F6",1)</v>
      </c>
      <c r="C159" s="9">
        <v>4.7</v>
      </c>
      <c r="D159" s="9">
        <v>3.8</v>
      </c>
      <c r="E159" s="9">
        <v>4.6</v>
      </c>
      <c r="F159" s="9">
        <v>3.6</v>
      </c>
      <c r="G159" s="9">
        <v>2</v>
      </c>
      <c r="H159" s="9">
        <v>2.8</v>
      </c>
      <c r="I159" s="9">
        <v>2</v>
      </c>
      <c r="J159" s="9">
        <v>2.5</v>
      </c>
      <c r="K159" s="9">
        <v>26</v>
      </c>
      <c r="L159" s="9">
        <v>14</v>
      </c>
      <c r="M159" s="9">
        <v>15</v>
      </c>
      <c r="N159" s="9">
        <v>9</v>
      </c>
      <c r="O159" s="9">
        <v>3</v>
      </c>
      <c r="P159" s="9">
        <v>3.8</v>
      </c>
      <c r="Q159" s="9">
        <v>350</v>
      </c>
      <c r="R159"/>
      <c r="S159"/>
      <c r="T159"/>
      <c r="U159"/>
      <c r="V159"/>
      <c r="W159"/>
      <c r="X159"/>
      <c r="Y159"/>
      <c r="Z159"/>
      <c r="AA159"/>
      <c r="AB159"/>
    </row>
    <row r="160" s="7" customFormat="1" customHeight="1" spans="1:28">
      <c r="A160" s="10" t="s">
        <v>773</v>
      </c>
      <c r="B160" s="10"/>
      <c r="C160" s="11">
        <v>13.1</v>
      </c>
      <c r="D160" s="11">
        <v>10.9</v>
      </c>
      <c r="E160" s="11">
        <v>12.8</v>
      </c>
      <c r="F160" s="11">
        <v>10.2</v>
      </c>
      <c r="G160" s="11">
        <v>5.7</v>
      </c>
      <c r="H160" s="11">
        <v>8</v>
      </c>
      <c r="I160" s="11">
        <v>5.7</v>
      </c>
      <c r="J160" s="11">
        <v>7.1</v>
      </c>
      <c r="K160" s="11">
        <v>61</v>
      </c>
      <c r="L160" s="11">
        <v>34</v>
      </c>
      <c r="M160" s="11">
        <v>35</v>
      </c>
      <c r="N160" s="11">
        <v>20</v>
      </c>
      <c r="O160" s="11">
        <v>9.1</v>
      </c>
      <c r="P160" s="11">
        <v>8.7</v>
      </c>
      <c r="Q160" s="11">
        <v>350</v>
      </c>
      <c r="R160"/>
      <c r="S160"/>
      <c r="T160"/>
      <c r="U160"/>
      <c r="V160"/>
      <c r="W160"/>
      <c r="X160"/>
      <c r="Y160"/>
      <c r="Z160"/>
      <c r="AA160"/>
      <c r="AB160"/>
    </row>
    <row r="161" s="7" customFormat="1" customHeight="1" spans="1:28">
      <c r="A161" s="12" t="s">
        <v>774</v>
      </c>
      <c r="B161" s="12" t="str">
        <f>_xlfn.DISPIMG("ID_D06B9F4ACE43470E84A137F297E8A7A5",1)</f>
        <v>=DISPIMG("ID_D06B9F4ACE43470E84A137F297E8A7A5",1)</v>
      </c>
      <c r="C161" s="13">
        <v>3.2</v>
      </c>
      <c r="D161" s="13">
        <v>2.7</v>
      </c>
      <c r="E161" s="13">
        <v>3.2</v>
      </c>
      <c r="F161" s="13">
        <v>2.5</v>
      </c>
      <c r="G161" s="13">
        <v>1.4</v>
      </c>
      <c r="H161" s="13">
        <v>1.9</v>
      </c>
      <c r="I161" s="13">
        <v>1.4</v>
      </c>
      <c r="J161" s="13">
        <v>1.7</v>
      </c>
      <c r="K161" s="13">
        <v>20</v>
      </c>
      <c r="L161" s="13">
        <v>11</v>
      </c>
      <c r="M161" s="13">
        <v>12</v>
      </c>
      <c r="N161" s="13">
        <v>7</v>
      </c>
      <c r="O161" s="13">
        <v>2</v>
      </c>
      <c r="P161" s="13">
        <v>3</v>
      </c>
      <c r="Q161" s="13">
        <v>350</v>
      </c>
      <c r="R161"/>
      <c r="S161"/>
      <c r="T161"/>
      <c r="U161"/>
      <c r="V161"/>
      <c r="W161"/>
      <c r="X161"/>
      <c r="Y161"/>
      <c r="Z161"/>
      <c r="AA161"/>
      <c r="AB161"/>
    </row>
    <row r="162" s="7" customFormat="1" customHeight="1" spans="1:28">
      <c r="A162" s="14" t="s">
        <v>775</v>
      </c>
      <c r="B162" s="14" t="str">
        <f>_xlfn.DISPIMG("ID_ECEF57346C4341D9915E528636443626",1)</f>
        <v>=DISPIMG("ID_ECEF57346C4341D9915E528636443626",1)</v>
      </c>
      <c r="C162" s="15">
        <v>7.5</v>
      </c>
      <c r="D162" s="15">
        <v>6.2</v>
      </c>
      <c r="E162" s="15">
        <v>7.3</v>
      </c>
      <c r="F162" s="15">
        <v>5.8</v>
      </c>
      <c r="G162" s="15">
        <v>3.2</v>
      </c>
      <c r="H162" s="15">
        <v>4.5</v>
      </c>
      <c r="I162" s="15">
        <v>3.2</v>
      </c>
      <c r="J162" s="15">
        <v>4</v>
      </c>
      <c r="K162" s="15">
        <v>38</v>
      </c>
      <c r="L162" s="15">
        <v>21</v>
      </c>
      <c r="M162" s="15">
        <v>22</v>
      </c>
      <c r="N162" s="15">
        <v>12</v>
      </c>
      <c r="O162" s="15">
        <v>5.5</v>
      </c>
      <c r="P162" s="15">
        <v>5.4</v>
      </c>
      <c r="Q162" s="15">
        <v>350</v>
      </c>
      <c r="R162"/>
      <c r="S162"/>
      <c r="T162"/>
      <c r="U162"/>
      <c r="V162"/>
      <c r="W162"/>
      <c r="X162"/>
      <c r="Y162"/>
      <c r="Z162"/>
      <c r="AA162"/>
      <c r="AB162"/>
    </row>
    <row r="163" s="7" customFormat="1" customHeight="1" spans="1:28">
      <c r="A163" s="8" t="s">
        <v>776</v>
      </c>
      <c r="B163" s="8" t="str">
        <f>_xlfn.DISPIMG("ID_DD2B8E5AFC654FE9BBCED0F0F9A90544",1)</f>
        <v>=DISPIMG("ID_DD2B8E5AFC654FE9BBCED0F0F9A90544",1)</v>
      </c>
      <c r="C163" s="9">
        <v>4.4</v>
      </c>
      <c r="D163" s="9">
        <v>3.8</v>
      </c>
      <c r="E163" s="9">
        <v>4.4</v>
      </c>
      <c r="F163" s="9">
        <v>4.4</v>
      </c>
      <c r="G163" s="9">
        <v>3</v>
      </c>
      <c r="H163" s="9">
        <v>4.2</v>
      </c>
      <c r="I163" s="9">
        <v>2.2</v>
      </c>
      <c r="J163" s="9">
        <v>3.8</v>
      </c>
      <c r="K163" s="9">
        <v>23</v>
      </c>
      <c r="L163" s="9">
        <v>16</v>
      </c>
      <c r="M163" s="9">
        <v>17</v>
      </c>
      <c r="N163" s="9">
        <v>17</v>
      </c>
      <c r="O163" s="9">
        <v>2.9</v>
      </c>
      <c r="P163" s="9">
        <v>4.2</v>
      </c>
      <c r="Q163" s="9">
        <v>360</v>
      </c>
      <c r="R163"/>
      <c r="S163"/>
      <c r="T163"/>
      <c r="U163"/>
      <c r="V163"/>
      <c r="W163"/>
      <c r="X163"/>
      <c r="Y163"/>
      <c r="Z163"/>
      <c r="AA163"/>
      <c r="AB163"/>
    </row>
    <row r="164" s="7" customFormat="1" customHeight="1" spans="1:28">
      <c r="A164" s="10" t="s">
        <v>777</v>
      </c>
      <c r="B164" s="10" t="str">
        <f>_xlfn.DISPIMG("ID_2B574B4CA3DD4DE2B219E2F295A99650",1)</f>
        <v>=DISPIMG("ID_2B574B4CA3DD4DE2B219E2F295A99650",1)</v>
      </c>
      <c r="C164" s="11">
        <v>11.8</v>
      </c>
      <c r="D164" s="11">
        <v>10.1</v>
      </c>
      <c r="E164" s="11">
        <v>11.8</v>
      </c>
      <c r="F164" s="11">
        <v>11.8</v>
      </c>
      <c r="G164" s="11">
        <v>7.8</v>
      </c>
      <c r="H164" s="11">
        <v>11.2</v>
      </c>
      <c r="I164" s="11">
        <v>5.5</v>
      </c>
      <c r="J164" s="11">
        <v>10</v>
      </c>
      <c r="K164" s="11">
        <v>46</v>
      </c>
      <c r="L164" s="11">
        <v>32</v>
      </c>
      <c r="M164" s="11">
        <v>33</v>
      </c>
      <c r="N164" s="11">
        <v>33</v>
      </c>
      <c r="O164" s="11">
        <v>8</v>
      </c>
      <c r="P164" s="11">
        <v>9</v>
      </c>
      <c r="Q164" s="11">
        <v>360</v>
      </c>
      <c r="R164"/>
      <c r="S164"/>
      <c r="T164"/>
      <c r="U164"/>
      <c r="V164"/>
      <c r="W164"/>
      <c r="X164"/>
      <c r="Y164"/>
      <c r="Z164"/>
      <c r="AA164"/>
      <c r="AB164"/>
    </row>
    <row r="165" s="7" customFormat="1" customHeight="1" spans="1:28">
      <c r="A165" s="12" t="s">
        <v>778</v>
      </c>
      <c r="B165" s="12" t="str">
        <f>_xlfn.DISPIMG("ID_7A2CCE733BC741299B122059659E99F1",1)</f>
        <v>=DISPIMG("ID_7A2CCE733BC741299B122059659E99F1",1)</v>
      </c>
      <c r="C165" s="13">
        <v>3.2</v>
      </c>
      <c r="D165" s="13">
        <v>2.8</v>
      </c>
      <c r="E165" s="13">
        <v>3.2</v>
      </c>
      <c r="F165" s="13">
        <v>3.2</v>
      </c>
      <c r="G165" s="13">
        <v>2</v>
      </c>
      <c r="H165" s="13">
        <v>3.1</v>
      </c>
      <c r="I165" s="13">
        <v>1.4</v>
      </c>
      <c r="J165" s="13">
        <v>2.7</v>
      </c>
      <c r="K165" s="13">
        <v>18</v>
      </c>
      <c r="L165" s="13">
        <v>13</v>
      </c>
      <c r="M165" s="13">
        <v>14</v>
      </c>
      <c r="N165" s="13">
        <v>14</v>
      </c>
      <c r="O165" s="13">
        <v>1.6</v>
      </c>
      <c r="P165" s="13">
        <v>3.1</v>
      </c>
      <c r="Q165" s="13">
        <v>360</v>
      </c>
      <c r="R165"/>
      <c r="S165"/>
      <c r="T165"/>
      <c r="U165"/>
      <c r="V165"/>
      <c r="W165"/>
      <c r="X165"/>
      <c r="Y165"/>
      <c r="Z165"/>
      <c r="AA165"/>
      <c r="AB165"/>
    </row>
    <row r="166" s="7" customFormat="1" customHeight="1" spans="1:28">
      <c r="A166" s="14" t="s">
        <v>779</v>
      </c>
      <c r="B166" s="14" t="str">
        <f>_xlfn.DISPIMG("ID_1DF045849D784F42B1BFF2249FCF2B99",1)</f>
        <v>=DISPIMG("ID_1DF045849D784F42B1BFF2249FCF2B99",1)</v>
      </c>
      <c r="C166" s="15">
        <v>6.6</v>
      </c>
      <c r="D166" s="15">
        <v>5.5</v>
      </c>
      <c r="E166" s="15">
        <v>6.6</v>
      </c>
      <c r="F166" s="15">
        <v>6.6</v>
      </c>
      <c r="G166" s="15">
        <v>4.2</v>
      </c>
      <c r="H166" s="15">
        <v>6.4</v>
      </c>
      <c r="I166" s="15">
        <v>2.8</v>
      </c>
      <c r="J166" s="15">
        <v>5.6</v>
      </c>
      <c r="K166" s="15">
        <v>25</v>
      </c>
      <c r="L166" s="15">
        <v>15</v>
      </c>
      <c r="M166" s="15">
        <v>19</v>
      </c>
      <c r="N166" s="15">
        <v>19</v>
      </c>
      <c r="O166" s="15">
        <v>4.6</v>
      </c>
      <c r="P166" s="15">
        <v>5.1</v>
      </c>
      <c r="Q166" s="15">
        <v>350</v>
      </c>
      <c r="R166"/>
      <c r="S166"/>
      <c r="T166"/>
      <c r="U166"/>
      <c r="V166"/>
      <c r="W166"/>
      <c r="X166"/>
      <c r="Y166"/>
      <c r="Z166"/>
      <c r="AA166"/>
      <c r="AB166"/>
    </row>
    <row r="167" s="7" customFormat="1" customHeight="1" spans="1:28">
      <c r="A167" s="8" t="s">
        <v>780</v>
      </c>
      <c r="B167" s="8" t="str">
        <f>_xlfn.DISPIMG("ID_2FC8485DF7A74C2293395149A0FE47E5",1)</f>
        <v>=DISPIMG("ID_2FC8485DF7A74C2293395149A0FE47E5",1)</v>
      </c>
      <c r="C167" s="9">
        <v>3.8</v>
      </c>
      <c r="D167" s="9">
        <v>3.1</v>
      </c>
      <c r="E167" s="9">
        <v>4.2</v>
      </c>
      <c r="F167" s="9">
        <v>3.6</v>
      </c>
      <c r="G167" s="9">
        <v>2.1</v>
      </c>
      <c r="H167" s="9">
        <v>3.4</v>
      </c>
      <c r="I167" s="9">
        <v>2.4</v>
      </c>
      <c r="J167" s="9">
        <v>2.1</v>
      </c>
      <c r="K167" s="9">
        <v>26</v>
      </c>
      <c r="L167" s="9">
        <v>15</v>
      </c>
      <c r="M167" s="9">
        <v>14</v>
      </c>
      <c r="N167" s="9">
        <v>10</v>
      </c>
      <c r="O167" s="9">
        <v>2.3</v>
      </c>
      <c r="P167" s="9">
        <v>3.8</v>
      </c>
      <c r="Q167" s="9">
        <v>350</v>
      </c>
      <c r="R167"/>
      <c r="S167"/>
      <c r="T167"/>
      <c r="U167"/>
      <c r="V167"/>
      <c r="W167"/>
      <c r="X167"/>
      <c r="Y167"/>
      <c r="Z167"/>
      <c r="AA167"/>
      <c r="AB167"/>
    </row>
    <row r="168" s="7" customFormat="1" customHeight="1" spans="1:28">
      <c r="A168" s="10" t="s">
        <v>781</v>
      </c>
      <c r="B168" s="10" t="str">
        <f>_xlfn.DISPIMG("ID_B74D7520BA9D47AB9EAB927D2F6022A9",1)</f>
        <v>=DISPIMG("ID_B74D7520BA9D47AB9EAB927D2F6022A9",1)</v>
      </c>
      <c r="C168" s="11">
        <v>11.7</v>
      </c>
      <c r="D168" s="11">
        <v>10</v>
      </c>
      <c r="E168" s="11">
        <v>12.3</v>
      </c>
      <c r="F168" s="11">
        <v>11.1</v>
      </c>
      <c r="G168" s="11">
        <v>7.6</v>
      </c>
      <c r="H168" s="11">
        <v>11</v>
      </c>
      <c r="I168" s="11">
        <v>8.4</v>
      </c>
      <c r="J168" s="11">
        <v>7.6</v>
      </c>
      <c r="K168" s="11">
        <v>61</v>
      </c>
      <c r="L168" s="11">
        <v>38</v>
      </c>
      <c r="M168" s="11">
        <v>35</v>
      </c>
      <c r="N168" s="11">
        <v>21</v>
      </c>
      <c r="O168" s="11">
        <v>8.7</v>
      </c>
      <c r="P168" s="11">
        <v>9.3</v>
      </c>
      <c r="Q168" s="11">
        <v>360</v>
      </c>
      <c r="R168"/>
      <c r="S168"/>
      <c r="T168"/>
      <c r="U168"/>
      <c r="V168"/>
      <c r="W168"/>
      <c r="X168"/>
      <c r="Y168"/>
      <c r="Z168"/>
      <c r="AA168"/>
      <c r="AB168"/>
    </row>
    <row r="169" s="7" customFormat="1" customHeight="1" spans="1:28">
      <c r="A169" s="12" t="s">
        <v>782</v>
      </c>
      <c r="B169" s="12" t="str">
        <f>_xlfn.DISPIMG("ID_F24A60DABD7B46BDA158CD1A29BFBFB1",1)</f>
        <v>=DISPIMG("ID_F24A60DABD7B46BDA158CD1A29BFBFB1",1)</v>
      </c>
      <c r="C169" s="13">
        <v>3</v>
      </c>
      <c r="D169" s="13">
        <v>2.6</v>
      </c>
      <c r="E169" s="13">
        <v>3.3</v>
      </c>
      <c r="F169" s="13">
        <v>2.9</v>
      </c>
      <c r="G169" s="13">
        <v>2.1</v>
      </c>
      <c r="H169" s="13">
        <v>3.1</v>
      </c>
      <c r="I169" s="13">
        <v>2.3</v>
      </c>
      <c r="J169" s="13">
        <v>2.1</v>
      </c>
      <c r="K169" s="13">
        <v>19</v>
      </c>
      <c r="L169" s="13">
        <v>10</v>
      </c>
      <c r="M169" s="13">
        <v>9</v>
      </c>
      <c r="N169" s="13">
        <v>6</v>
      </c>
      <c r="O169" s="13">
        <v>2.2</v>
      </c>
      <c r="P169" s="13">
        <v>2.8</v>
      </c>
      <c r="Q169" s="13">
        <v>350</v>
      </c>
      <c r="R169"/>
      <c r="S169"/>
      <c r="T169"/>
      <c r="U169"/>
      <c r="V169"/>
      <c r="W169"/>
      <c r="X169"/>
      <c r="Y169"/>
      <c r="Z169"/>
      <c r="AA169"/>
      <c r="AB169"/>
    </row>
    <row r="170" s="7" customFormat="1" customHeight="1" spans="1:28">
      <c r="A170" s="14" t="s">
        <v>783</v>
      </c>
      <c r="B170" s="14" t="str">
        <f>_xlfn.DISPIMG("ID_C78F374B2C22403FB653CABB2E5113A4",1)</f>
        <v>=DISPIMG("ID_C78F374B2C22403FB653CABB2E5113A4",1)</v>
      </c>
      <c r="C170" s="15">
        <v>7</v>
      </c>
      <c r="D170" s="15">
        <v>6</v>
      </c>
      <c r="E170" s="15">
        <v>7.4</v>
      </c>
      <c r="F170" s="15">
        <v>6.7</v>
      </c>
      <c r="G170" s="15">
        <v>4.9</v>
      </c>
      <c r="H170" s="15">
        <v>6.9</v>
      </c>
      <c r="I170" s="15">
        <v>5.4</v>
      </c>
      <c r="J170" s="15">
        <v>4.9</v>
      </c>
      <c r="K170" s="15">
        <v>36</v>
      </c>
      <c r="L170" s="15">
        <v>22</v>
      </c>
      <c r="M170" s="15">
        <v>20</v>
      </c>
      <c r="N170" s="15">
        <v>11</v>
      </c>
      <c r="O170" s="15">
        <v>5.9</v>
      </c>
      <c r="P170" s="15">
        <v>5.6</v>
      </c>
      <c r="Q170" s="15">
        <v>360</v>
      </c>
      <c r="R170"/>
      <c r="S170"/>
      <c r="T170"/>
      <c r="U170"/>
      <c r="V170"/>
      <c r="W170"/>
      <c r="X170"/>
      <c r="Y170"/>
      <c r="Z170"/>
      <c r="AA170"/>
      <c r="AB170"/>
    </row>
    <row r="171" s="7" customFormat="1" customHeight="1" spans="1:28">
      <c r="A171" s="8" t="s">
        <v>784</v>
      </c>
      <c r="B171" s="8" t="str">
        <f>_xlfn.DISPIMG("ID_43A26E602CFF44899BFDCD11E04BD4E5",1)</f>
        <v>=DISPIMG("ID_43A26E602CFF44899BFDCD11E04BD4E5",1)</v>
      </c>
      <c r="C171" s="9">
        <v>4.2</v>
      </c>
      <c r="D171" s="9">
        <v>3.4</v>
      </c>
      <c r="E171" s="9">
        <v>4.2</v>
      </c>
      <c r="F171" s="9">
        <v>4</v>
      </c>
      <c r="G171" s="9">
        <v>3.1</v>
      </c>
      <c r="H171" s="9">
        <v>3.8</v>
      </c>
      <c r="I171" s="9">
        <v>3.1</v>
      </c>
      <c r="J171" s="9">
        <v>3.6</v>
      </c>
      <c r="K171" s="9">
        <v>28</v>
      </c>
      <c r="L171" s="9">
        <v>18</v>
      </c>
      <c r="M171" s="9">
        <v>19</v>
      </c>
      <c r="N171" s="9">
        <v>12</v>
      </c>
      <c r="O171" s="9">
        <v>3.7</v>
      </c>
      <c r="P171" s="9">
        <v>4.2</v>
      </c>
      <c r="Q171" s="9">
        <v>360</v>
      </c>
      <c r="R171"/>
      <c r="S171"/>
      <c r="T171"/>
      <c r="U171"/>
      <c r="V171"/>
      <c r="W171"/>
      <c r="X171"/>
      <c r="Y171"/>
      <c r="Z171"/>
      <c r="AA171"/>
      <c r="AB171"/>
    </row>
    <row r="172" s="7" customFormat="1" customHeight="1" spans="1:28">
      <c r="A172" s="10" t="s">
        <v>785</v>
      </c>
      <c r="B172" s="10" t="str">
        <f>_xlfn.DISPIMG("ID_165DF20CFC084CE581C5CD183C61E373",1)</f>
        <v>=DISPIMG("ID_165DF20CFC084CE581C5CD183C61E373",1)</v>
      </c>
      <c r="C172" s="11">
        <v>11.9</v>
      </c>
      <c r="D172" s="11">
        <v>9.5</v>
      </c>
      <c r="E172" s="11">
        <v>11.9</v>
      </c>
      <c r="F172" s="11">
        <v>11.4</v>
      </c>
      <c r="G172" s="11">
        <v>8.8</v>
      </c>
      <c r="H172" s="11">
        <v>10.9</v>
      </c>
      <c r="I172" s="11">
        <v>8.8</v>
      </c>
      <c r="J172" s="11">
        <v>10.2</v>
      </c>
      <c r="K172" s="11">
        <v>59</v>
      </c>
      <c r="L172" s="11">
        <v>35</v>
      </c>
      <c r="M172" s="11">
        <v>37</v>
      </c>
      <c r="N172" s="11">
        <v>21</v>
      </c>
      <c r="O172" s="11">
        <v>11</v>
      </c>
      <c r="P172" s="11">
        <v>9</v>
      </c>
      <c r="Q172" s="11">
        <v>360</v>
      </c>
      <c r="R172"/>
      <c r="S172"/>
      <c r="T172"/>
      <c r="U172"/>
      <c r="V172"/>
      <c r="W172"/>
      <c r="X172"/>
      <c r="Y172"/>
      <c r="Z172"/>
      <c r="AA172"/>
      <c r="AB172"/>
    </row>
    <row r="173" s="7" customFormat="1" customHeight="1" spans="1:28">
      <c r="A173" s="12" t="s">
        <v>786</v>
      </c>
      <c r="B173" s="12" t="str">
        <f>_xlfn.DISPIMG("ID_6397822988544093943A03A9BFD485C6",1)</f>
        <v>=DISPIMG("ID_6397822988544093943A03A9BFD485C6",1)</v>
      </c>
      <c r="C173" s="13">
        <v>2.9</v>
      </c>
      <c r="D173" s="13">
        <v>2.3</v>
      </c>
      <c r="E173" s="13">
        <v>2.9</v>
      </c>
      <c r="F173" s="13">
        <v>2.8</v>
      </c>
      <c r="G173" s="13">
        <v>2.1</v>
      </c>
      <c r="H173" s="13">
        <v>2.7</v>
      </c>
      <c r="I173" s="13">
        <v>2.1</v>
      </c>
      <c r="J173" s="13">
        <v>2.5</v>
      </c>
      <c r="K173" s="13">
        <v>22</v>
      </c>
      <c r="L173" s="13">
        <v>14</v>
      </c>
      <c r="M173" s="13">
        <v>15</v>
      </c>
      <c r="N173" s="13">
        <v>10</v>
      </c>
      <c r="O173" s="13">
        <v>2.5</v>
      </c>
      <c r="P173" s="13">
        <v>3.3</v>
      </c>
      <c r="Q173" s="13">
        <v>360</v>
      </c>
      <c r="R173"/>
      <c r="S173"/>
      <c r="T173"/>
      <c r="U173"/>
      <c r="V173"/>
      <c r="W173"/>
      <c r="X173"/>
      <c r="Y173"/>
      <c r="Z173"/>
      <c r="AA173"/>
      <c r="AB173"/>
    </row>
    <row r="174" s="7" customFormat="1" customHeight="1" spans="1:28">
      <c r="A174" s="14" t="s">
        <v>787</v>
      </c>
      <c r="B174" s="14" t="str">
        <f>_xlfn.DISPIMG("ID_131505D97C7048AEA7FA0BC48D8E00E8",1)</f>
        <v>=DISPIMG("ID_131505D97C7048AEA7FA0BC48D8E00E8",1)</v>
      </c>
      <c r="C174" s="15">
        <v>6.8</v>
      </c>
      <c r="D174" s="15">
        <v>5.4</v>
      </c>
      <c r="E174" s="15">
        <v>6.8</v>
      </c>
      <c r="F174" s="15">
        <v>6.5</v>
      </c>
      <c r="G174" s="15">
        <v>5</v>
      </c>
      <c r="H174" s="15">
        <v>6.2</v>
      </c>
      <c r="I174" s="15">
        <v>5</v>
      </c>
      <c r="J174" s="15">
        <v>5.8</v>
      </c>
      <c r="K174" s="15">
        <v>36</v>
      </c>
      <c r="L174" s="15">
        <v>21</v>
      </c>
      <c r="M174" s="15">
        <v>22</v>
      </c>
      <c r="N174" s="15">
        <v>12</v>
      </c>
      <c r="O174" s="15">
        <v>6.7</v>
      </c>
      <c r="P174" s="15">
        <v>5.5</v>
      </c>
      <c r="Q174" s="15">
        <v>360</v>
      </c>
      <c r="R174"/>
      <c r="S174"/>
      <c r="T174"/>
      <c r="U174"/>
      <c r="V174"/>
      <c r="W174"/>
      <c r="X174"/>
      <c r="Y174"/>
      <c r="Z174"/>
      <c r="AA174"/>
      <c r="AB174"/>
    </row>
    <row r="175" s="7" customFormat="1" customHeight="1" spans="1:28">
      <c r="A175" s="8" t="s">
        <v>788</v>
      </c>
      <c r="B175" s="8" t="str">
        <f>_xlfn.DISPIMG("ID_D38E24525E9D429087C8750E4831BEDF",1)</f>
        <v>=DISPIMG("ID_D38E24525E9D429087C8750E4831BEDF",1)</v>
      </c>
      <c r="C175" s="9">
        <v>4.4</v>
      </c>
      <c r="D175" s="9">
        <v>4.2</v>
      </c>
      <c r="E175" s="9">
        <v>3.6</v>
      </c>
      <c r="F175" s="9">
        <v>4</v>
      </c>
      <c r="G175" s="9">
        <v>2.9</v>
      </c>
      <c r="H175" s="9">
        <v>4.2</v>
      </c>
      <c r="I175" s="9">
        <v>3.5</v>
      </c>
      <c r="J175" s="9">
        <v>2.6</v>
      </c>
      <c r="K175" s="9">
        <v>21</v>
      </c>
      <c r="L175" s="9">
        <v>14</v>
      </c>
      <c r="M175" s="9">
        <v>19</v>
      </c>
      <c r="N175" s="9">
        <v>12</v>
      </c>
      <c r="O175" s="9">
        <v>3.5</v>
      </c>
      <c r="P175" s="9">
        <v>4.6</v>
      </c>
      <c r="Q175" s="9">
        <v>370</v>
      </c>
      <c r="R175"/>
      <c r="S175"/>
      <c r="T175"/>
      <c r="U175"/>
      <c r="V175"/>
      <c r="W175"/>
      <c r="X175"/>
      <c r="Y175"/>
      <c r="Z175"/>
      <c r="AA175"/>
      <c r="AB175"/>
    </row>
    <row r="176" s="7" customFormat="1" customHeight="1" spans="1:28">
      <c r="A176" s="10" t="s">
        <v>789</v>
      </c>
      <c r="B176" s="10" t="str">
        <f>_xlfn.DISPIMG("ID_B604F35FCD6B4FE486CC4B584C47A9EB",1)</f>
        <v>=DISPIMG("ID_B604F35FCD6B4FE486CC4B584C47A9EB",1)</v>
      </c>
      <c r="C176" s="11">
        <v>12.6</v>
      </c>
      <c r="D176" s="11">
        <v>12.2</v>
      </c>
      <c r="E176" s="11">
        <v>10</v>
      </c>
      <c r="F176" s="11">
        <v>11.1</v>
      </c>
      <c r="G176" s="11">
        <v>8.3</v>
      </c>
      <c r="H176" s="11">
        <v>12.5</v>
      </c>
      <c r="I176" s="11">
        <v>10.4</v>
      </c>
      <c r="J176" s="11">
        <v>9</v>
      </c>
      <c r="K176" s="11">
        <v>43</v>
      </c>
      <c r="L176" s="11">
        <v>28</v>
      </c>
      <c r="M176" s="11">
        <v>39</v>
      </c>
      <c r="N176" s="11">
        <v>22</v>
      </c>
      <c r="O176" s="11">
        <v>8.7</v>
      </c>
      <c r="P176" s="11">
        <v>9.2</v>
      </c>
      <c r="Q176" s="11">
        <v>360</v>
      </c>
      <c r="R176"/>
      <c r="S176"/>
      <c r="T176"/>
      <c r="U176"/>
      <c r="V176"/>
      <c r="W176"/>
      <c r="X176"/>
      <c r="Y176"/>
      <c r="Z176"/>
      <c r="AA176"/>
      <c r="AB176"/>
    </row>
    <row r="177" s="7" customFormat="1" customHeight="1" spans="1:28">
      <c r="A177" s="12" t="s">
        <v>790</v>
      </c>
      <c r="B177" s="12" t="str">
        <f>_xlfn.DISPIMG("ID_3921DE8CB0574A69A0B0C2E129438579",1)</f>
        <v>=DISPIMG("ID_3921DE8CB0574A69A0B0C2E129438579",1)</v>
      </c>
      <c r="C177" s="13">
        <v>3.3</v>
      </c>
      <c r="D177" s="13">
        <v>3.2</v>
      </c>
      <c r="E177" s="13">
        <v>2.6</v>
      </c>
      <c r="F177" s="13">
        <v>2.9</v>
      </c>
      <c r="G177" s="13">
        <v>2.4</v>
      </c>
      <c r="H177" s="13">
        <v>3.7</v>
      </c>
      <c r="I177" s="13">
        <v>3</v>
      </c>
      <c r="J177" s="13">
        <v>2.2</v>
      </c>
      <c r="K177" s="13">
        <v>11</v>
      </c>
      <c r="L177" s="13">
        <v>5</v>
      </c>
      <c r="M177" s="13">
        <v>10</v>
      </c>
      <c r="N177" s="13">
        <v>4</v>
      </c>
      <c r="O177" s="13">
        <v>2.1</v>
      </c>
      <c r="P177" s="13">
        <v>3.1</v>
      </c>
      <c r="Q177" s="13">
        <v>350</v>
      </c>
      <c r="R177"/>
      <c r="S177"/>
      <c r="T177"/>
      <c r="U177"/>
      <c r="V177"/>
      <c r="W177"/>
      <c r="X177"/>
      <c r="Y177"/>
      <c r="Z177"/>
      <c r="AA177"/>
      <c r="AB177"/>
    </row>
    <row r="178" s="7" customFormat="1" customHeight="1" spans="1:28">
      <c r="A178" s="14" t="s">
        <v>791</v>
      </c>
      <c r="B178" s="14" t="str">
        <f>_xlfn.DISPIMG("ID_641092AC874F4A6FABF5FA9EF6005E98",1)</f>
        <v>=DISPIMG("ID_641092AC874F4A6FABF5FA9EF6005E98",1)</v>
      </c>
      <c r="C178" s="15">
        <v>7.3</v>
      </c>
      <c r="D178" s="15">
        <v>7</v>
      </c>
      <c r="E178" s="15">
        <v>5.6</v>
      </c>
      <c r="F178" s="15">
        <v>6.4</v>
      </c>
      <c r="G178" s="15">
        <v>5</v>
      </c>
      <c r="H178" s="15">
        <v>7.8</v>
      </c>
      <c r="I178" s="15">
        <v>6.3</v>
      </c>
      <c r="J178" s="15">
        <v>5.5</v>
      </c>
      <c r="K178" s="15">
        <v>22</v>
      </c>
      <c r="L178" s="15">
        <v>10</v>
      </c>
      <c r="M178" s="15">
        <v>20</v>
      </c>
      <c r="N178" s="15">
        <v>9</v>
      </c>
      <c r="O178" s="15">
        <v>4.9</v>
      </c>
      <c r="P178" s="15">
        <v>5.3</v>
      </c>
      <c r="Q178" s="15">
        <v>350</v>
      </c>
      <c r="R178"/>
      <c r="S178"/>
      <c r="T178"/>
      <c r="U178"/>
      <c r="V178"/>
      <c r="W178"/>
      <c r="X178"/>
      <c r="Y178"/>
      <c r="Z178"/>
      <c r="AA178"/>
      <c r="AB178"/>
    </row>
    <row r="179" s="7" customFormat="1" customHeight="1" spans="1:28">
      <c r="A179" s="8" t="s">
        <v>792</v>
      </c>
      <c r="B179" s="8" t="str">
        <f>_xlfn.DISPIMG("ID_DE64477CCEBF45238954AE792210B46D",1)</f>
        <v>=DISPIMG("ID_DE64477CCEBF45238954AE792210B46D",1)</v>
      </c>
      <c r="C179" s="9">
        <v>4.7</v>
      </c>
      <c r="D179" s="9">
        <v>4.6</v>
      </c>
      <c r="E179" s="9">
        <v>4.6</v>
      </c>
      <c r="F179" s="9">
        <v>4.4</v>
      </c>
      <c r="G179" s="9">
        <v>2.6</v>
      </c>
      <c r="H179" s="9">
        <v>4.2</v>
      </c>
      <c r="I179" s="9">
        <v>1.8</v>
      </c>
      <c r="J179" s="9">
        <v>2.6</v>
      </c>
      <c r="K179" s="9">
        <v>24</v>
      </c>
      <c r="L179" s="9">
        <v>15</v>
      </c>
      <c r="M179" s="9">
        <v>26</v>
      </c>
      <c r="N179" s="9">
        <v>10</v>
      </c>
      <c r="O179" s="9">
        <v>4</v>
      </c>
      <c r="P179" s="9">
        <v>4.8</v>
      </c>
      <c r="Q179" s="9">
        <v>370</v>
      </c>
      <c r="R179"/>
      <c r="S179"/>
      <c r="T179"/>
      <c r="U179"/>
      <c r="V179"/>
      <c r="W179"/>
      <c r="X179"/>
      <c r="Y179"/>
      <c r="Z179"/>
      <c r="AA179"/>
      <c r="AB179"/>
    </row>
    <row r="180" s="7" customFormat="1" customHeight="1" spans="1:28">
      <c r="A180" s="10" t="s">
        <v>793</v>
      </c>
      <c r="B180" s="10" t="str">
        <f>_xlfn.DISPIMG("ID_C20ADEFCA7AD4DB7BF734D3817A1D8E6",1)</f>
        <v>=DISPIMG("ID_C20ADEFCA7AD4DB7BF734D3817A1D8E6",1)</v>
      </c>
      <c r="C180" s="11">
        <v>12.5</v>
      </c>
      <c r="D180" s="11">
        <v>12.1</v>
      </c>
      <c r="E180" s="11">
        <v>12.1</v>
      </c>
      <c r="F180" s="11">
        <v>11.6</v>
      </c>
      <c r="G180" s="11">
        <v>6.8</v>
      </c>
      <c r="H180" s="11">
        <v>11.1</v>
      </c>
      <c r="I180" s="11">
        <v>4.4</v>
      </c>
      <c r="J180" s="11">
        <v>6.8</v>
      </c>
      <c r="K180" s="11">
        <v>60</v>
      </c>
      <c r="L180" s="11">
        <v>38</v>
      </c>
      <c r="M180" s="11">
        <v>64</v>
      </c>
      <c r="N180" s="11">
        <v>27</v>
      </c>
      <c r="O180" s="11">
        <v>10.7</v>
      </c>
      <c r="P180" s="11">
        <v>10.8</v>
      </c>
      <c r="Q180" s="11">
        <v>370</v>
      </c>
      <c r="R180"/>
      <c r="S180"/>
      <c r="T180"/>
      <c r="U180"/>
      <c r="V180"/>
      <c r="W180"/>
      <c r="X180"/>
      <c r="Y180"/>
      <c r="Z180"/>
      <c r="AA180"/>
      <c r="AB180"/>
    </row>
    <row r="181" s="7" customFormat="1" customHeight="1" spans="1:28">
      <c r="A181" s="12" t="s">
        <v>794</v>
      </c>
      <c r="B181" s="12" t="str">
        <f>_xlfn.DISPIMG("ID_7552C8BC6F8D4F6DBE86BE9CD7FA8403",1)</f>
        <v>=DISPIMG("ID_7552C8BC6F8D4F6DBE86BE9CD7FA8403",1)</v>
      </c>
      <c r="C181" s="13">
        <v>2.2</v>
      </c>
      <c r="D181" s="13">
        <v>2.8</v>
      </c>
      <c r="E181" s="13">
        <v>2.2</v>
      </c>
      <c r="F181" s="13">
        <v>2.2</v>
      </c>
      <c r="G181" s="13">
        <v>0.8</v>
      </c>
      <c r="H181" s="13">
        <v>2.5</v>
      </c>
      <c r="I181" s="13">
        <v>2</v>
      </c>
      <c r="J181" s="13">
        <v>0.8</v>
      </c>
      <c r="K181" s="13">
        <v>15</v>
      </c>
      <c r="L181" s="13">
        <v>19</v>
      </c>
      <c r="M181" s="13">
        <v>24</v>
      </c>
      <c r="N181" s="13">
        <v>19</v>
      </c>
      <c r="O181" s="13">
        <v>0.7</v>
      </c>
      <c r="P181" s="13">
        <v>2.3</v>
      </c>
      <c r="Q181" s="13">
        <v>270</v>
      </c>
      <c r="R181"/>
      <c r="S181"/>
      <c r="T181"/>
      <c r="U181"/>
      <c r="V181"/>
      <c r="W181"/>
      <c r="X181"/>
      <c r="Y181"/>
      <c r="Z181"/>
      <c r="AA181"/>
      <c r="AB181"/>
    </row>
    <row r="182" s="7" customFormat="1" customHeight="1" spans="1:28">
      <c r="A182" s="14" t="s">
        <v>795</v>
      </c>
      <c r="B182" s="14" t="str">
        <f>_xlfn.DISPIMG("ID_F4747E06190347F28E5DFED5F4F30120",1)</f>
        <v>=DISPIMG("ID_F4747E06190347F28E5DFED5F4F30120",1)</v>
      </c>
      <c r="C182" s="15">
        <v>6.1</v>
      </c>
      <c r="D182" s="15">
        <v>7.5</v>
      </c>
      <c r="E182" s="15">
        <v>6.1</v>
      </c>
      <c r="F182" s="15">
        <v>6.1</v>
      </c>
      <c r="G182" s="15">
        <v>2.9</v>
      </c>
      <c r="H182" s="15">
        <v>6.8</v>
      </c>
      <c r="I182" s="15">
        <v>5.7</v>
      </c>
      <c r="J182" s="15">
        <v>2.9</v>
      </c>
      <c r="K182" s="15">
        <v>24</v>
      </c>
      <c r="L182" s="15">
        <v>32</v>
      </c>
      <c r="M182" s="15">
        <v>42</v>
      </c>
      <c r="N182" s="15">
        <v>32</v>
      </c>
      <c r="O182" s="15">
        <v>3.1</v>
      </c>
      <c r="P182" s="15">
        <v>4.3</v>
      </c>
      <c r="Q182" s="15">
        <v>270</v>
      </c>
      <c r="R182"/>
      <c r="S182"/>
      <c r="T182"/>
      <c r="U182"/>
      <c r="V182"/>
      <c r="W182"/>
      <c r="X182"/>
      <c r="Y182"/>
      <c r="Z182"/>
      <c r="AA182"/>
      <c r="AB182"/>
    </row>
    <row r="183" s="7" customFormat="1" customHeight="1" spans="1:28">
      <c r="A183" s="8" t="s">
        <v>796</v>
      </c>
      <c r="B183" s="8" t="str">
        <f>_xlfn.DISPIMG("ID_26B38A2275E04FD6AF2F26BC57AECEF6",1)</f>
        <v>=DISPIMG("ID_26B38A2275E04FD6AF2F26BC57AECEF6",1)</v>
      </c>
      <c r="C183" s="16">
        <v>4</v>
      </c>
      <c r="D183" s="16">
        <v>3.1</v>
      </c>
      <c r="E183" s="16">
        <v>3.9</v>
      </c>
      <c r="F183" s="16">
        <v>3.7</v>
      </c>
      <c r="G183" s="16">
        <v>3.1</v>
      </c>
      <c r="H183" s="16">
        <v>2.5</v>
      </c>
      <c r="I183" s="16">
        <v>1.3</v>
      </c>
      <c r="J183" s="16">
        <v>3.1</v>
      </c>
      <c r="K183" s="16">
        <v>18</v>
      </c>
      <c r="L183" s="16">
        <v>14</v>
      </c>
      <c r="M183" s="16">
        <v>15</v>
      </c>
      <c r="N183" s="16">
        <v>7</v>
      </c>
      <c r="O183" s="16">
        <v>2.7</v>
      </c>
      <c r="P183" s="16">
        <v>4</v>
      </c>
      <c r="Q183" s="16">
        <v>350</v>
      </c>
      <c r="R183"/>
      <c r="S183"/>
      <c r="T183"/>
      <c r="U183"/>
      <c r="V183"/>
      <c r="W183"/>
      <c r="X183"/>
      <c r="Y183"/>
      <c r="Z183"/>
      <c r="AA183"/>
      <c r="AB183"/>
    </row>
    <row r="184" s="7" customFormat="1" customHeight="1" spans="1:28">
      <c r="A184" s="10" t="s">
        <v>797</v>
      </c>
      <c r="B184" s="10" t="str">
        <f>_xlfn.DISPIMG("ID_CC9074120B81468999069EFC1BD6DC85",1)</f>
        <v>=DISPIMG("ID_CC9074120B81468999069EFC1BD6DC85",1)</v>
      </c>
      <c r="C184" s="17">
        <v>12.9</v>
      </c>
      <c r="D184" s="17">
        <v>9.2</v>
      </c>
      <c r="E184" s="17">
        <v>11.6</v>
      </c>
      <c r="F184" s="17">
        <v>11.1</v>
      </c>
      <c r="G184" s="17">
        <v>9.2</v>
      </c>
      <c r="H184" s="17">
        <v>7.7</v>
      </c>
      <c r="I184" s="17">
        <v>4.4</v>
      </c>
      <c r="J184" s="17">
        <v>9.2</v>
      </c>
      <c r="K184" s="17">
        <v>38</v>
      </c>
      <c r="L184" s="17">
        <v>30</v>
      </c>
      <c r="M184" s="17">
        <v>33</v>
      </c>
      <c r="N184" s="17">
        <v>14</v>
      </c>
      <c r="O184" s="17">
        <v>8.8</v>
      </c>
      <c r="P184" s="17">
        <v>9.1</v>
      </c>
      <c r="Q184" s="17">
        <v>350</v>
      </c>
      <c r="R184"/>
      <c r="S184"/>
      <c r="T184"/>
      <c r="U184"/>
      <c r="V184"/>
      <c r="W184"/>
      <c r="X184"/>
      <c r="Y184"/>
      <c r="Z184"/>
      <c r="AA184"/>
      <c r="AB184"/>
    </row>
    <row r="185" s="7" customFormat="1" customHeight="1" spans="1:28">
      <c r="A185" s="12" t="s">
        <v>798</v>
      </c>
      <c r="B185" s="12" t="str">
        <f>_xlfn.DISPIMG("ID_525132A1070B468585C1EC462E121692",1)</f>
        <v>=DISPIMG("ID_525132A1070B468585C1EC462E121692",1)</v>
      </c>
      <c r="C185" s="18">
        <v>3.5</v>
      </c>
      <c r="D185" s="18">
        <v>2.6</v>
      </c>
      <c r="E185" s="18">
        <v>3.2</v>
      </c>
      <c r="F185" s="18">
        <v>3.1</v>
      </c>
      <c r="G185" s="18">
        <v>2.6</v>
      </c>
      <c r="H185" s="18">
        <v>2.2</v>
      </c>
      <c r="I185" s="18">
        <v>1.4</v>
      </c>
      <c r="J185" s="18">
        <v>2.6</v>
      </c>
      <c r="K185" s="18">
        <v>12</v>
      </c>
      <c r="L185" s="18">
        <v>9</v>
      </c>
      <c r="M185" s="18">
        <v>10</v>
      </c>
      <c r="N185" s="18">
        <v>4</v>
      </c>
      <c r="O185" s="18">
        <v>2.3</v>
      </c>
      <c r="P185" s="18">
        <v>3.2</v>
      </c>
      <c r="Q185" s="18">
        <v>350</v>
      </c>
      <c r="R185"/>
      <c r="S185"/>
      <c r="T185"/>
      <c r="U185"/>
      <c r="V185"/>
      <c r="W185"/>
      <c r="X185"/>
      <c r="Y185"/>
      <c r="Z185"/>
      <c r="AA185"/>
      <c r="AB185"/>
    </row>
    <row r="186" s="7" customFormat="1" customHeight="1" spans="1:28">
      <c r="A186" s="14" t="s">
        <v>799</v>
      </c>
      <c r="B186" s="14" t="str">
        <f>_xlfn.DISPIMG("ID_FAE5486709AB435699FB2235F853D145",1)</f>
        <v>=DISPIMG("ID_FAE5486709AB435699FB2235F853D145",1)</v>
      </c>
      <c r="C186" s="19">
        <v>8</v>
      </c>
      <c r="D186" s="19">
        <v>6.1</v>
      </c>
      <c r="E186" s="19">
        <v>7.1</v>
      </c>
      <c r="F186" s="19">
        <v>6.8</v>
      </c>
      <c r="G186" s="19">
        <v>6.5</v>
      </c>
      <c r="H186" s="19">
        <v>5.3</v>
      </c>
      <c r="I186" s="19">
        <v>2.9</v>
      </c>
      <c r="J186" s="19">
        <v>6.1</v>
      </c>
      <c r="K186" s="19">
        <v>26</v>
      </c>
      <c r="L186" s="19">
        <v>20</v>
      </c>
      <c r="M186" s="19">
        <v>23</v>
      </c>
      <c r="N186" s="19">
        <v>10</v>
      </c>
      <c r="O186" s="19">
        <v>6.4</v>
      </c>
      <c r="P186" s="19">
        <v>6.1</v>
      </c>
      <c r="Q186" s="19">
        <v>350</v>
      </c>
      <c r="R186"/>
      <c r="S186"/>
      <c r="T186"/>
      <c r="U186"/>
      <c r="V186"/>
      <c r="W186"/>
      <c r="X186"/>
      <c r="Y186"/>
      <c r="Z186"/>
      <c r="AA186"/>
      <c r="AB186"/>
    </row>
    <row r="187" s="7" customFormat="1" customHeight="1" spans="1:28">
      <c r="A187" s="8" t="s">
        <v>680</v>
      </c>
      <c r="B187" s="8" t="str">
        <f>_xlfn.DISPIMG("ID_71668223A7474A3CBA78E5CD997BF01F",1)</f>
        <v>=DISPIMG("ID_71668223A7474A3CBA78E5CD997BF01F",1)</v>
      </c>
      <c r="C187" s="9">
        <v>4.7</v>
      </c>
      <c r="D187" s="9">
        <v>4.9</v>
      </c>
      <c r="E187" s="9">
        <v>4.5</v>
      </c>
      <c r="F187" s="9">
        <v>4.5</v>
      </c>
      <c r="G187" s="9">
        <v>4.7</v>
      </c>
      <c r="H187" s="9">
        <v>4.7</v>
      </c>
      <c r="I187" s="9">
        <v>4.5</v>
      </c>
      <c r="J187" s="9">
        <v>4.7</v>
      </c>
      <c r="K187" s="9">
        <v>17</v>
      </c>
      <c r="L187" s="9">
        <v>17</v>
      </c>
      <c r="M187" s="9">
        <v>17</v>
      </c>
      <c r="N187" s="9">
        <v>15</v>
      </c>
      <c r="O187" s="9">
        <v>6</v>
      </c>
      <c r="P187" s="9">
        <v>6</v>
      </c>
      <c r="Q187" s="9">
        <v>380</v>
      </c>
      <c r="R187"/>
      <c r="S187"/>
      <c r="T187"/>
      <c r="U187"/>
      <c r="V187"/>
      <c r="W187"/>
      <c r="X187"/>
      <c r="Y187"/>
      <c r="Z187"/>
      <c r="AA187"/>
      <c r="AB187"/>
    </row>
    <row r="188" s="7" customFormat="1" customHeight="1" spans="1:28">
      <c r="A188" s="10" t="s">
        <v>800</v>
      </c>
      <c r="B188" s="10" t="str">
        <f>_xlfn.DISPIMG("ID_48999307BC5B4B57B1158D23DC56AE1B",1)</f>
        <v>=DISPIMG("ID_48999307BC5B4B57B1158D23DC56AE1B",1)</v>
      </c>
      <c r="C188" s="11">
        <v>11.2</v>
      </c>
      <c r="D188" s="11">
        <v>8.3</v>
      </c>
      <c r="E188" s="11">
        <v>11.2</v>
      </c>
      <c r="F188" s="11">
        <v>11.2</v>
      </c>
      <c r="G188" s="11">
        <v>10.5</v>
      </c>
      <c r="H188" s="11">
        <v>10.5</v>
      </c>
      <c r="I188" s="11">
        <v>9.8</v>
      </c>
      <c r="J188" s="11">
        <v>10.5</v>
      </c>
      <c r="K188" s="11">
        <v>34</v>
      </c>
      <c r="L188" s="11">
        <v>28</v>
      </c>
      <c r="M188" s="11">
        <v>31</v>
      </c>
      <c r="N188" s="11">
        <v>26</v>
      </c>
      <c r="O188" s="11">
        <v>11.3</v>
      </c>
      <c r="P188" s="11">
        <v>8.6</v>
      </c>
      <c r="Q188" s="11">
        <v>350</v>
      </c>
      <c r="R188"/>
      <c r="S188"/>
      <c r="T188"/>
      <c r="U188"/>
      <c r="V188"/>
      <c r="W188"/>
      <c r="X188"/>
      <c r="Y188"/>
      <c r="Z188"/>
      <c r="AA188"/>
      <c r="AB188"/>
    </row>
    <row r="189" s="7" customFormat="1" customHeight="1" spans="1:28">
      <c r="A189" s="12" t="s">
        <v>801</v>
      </c>
      <c r="B189" s="12" t="str">
        <f>_xlfn.DISPIMG("ID_701D221D37E84584B18D2EE6B06C5ADF",1)</f>
        <v>=DISPIMG("ID_701D221D37E84584B18D2EE6B06C5ADF",1)</v>
      </c>
      <c r="C189" s="13">
        <v>2.4</v>
      </c>
      <c r="D189" s="13">
        <v>1.6</v>
      </c>
      <c r="E189" s="13">
        <v>2.4</v>
      </c>
      <c r="F189" s="13">
        <v>2.4</v>
      </c>
      <c r="G189" s="13">
        <v>2.2</v>
      </c>
      <c r="H189" s="13">
        <v>2.2</v>
      </c>
      <c r="I189" s="13">
        <v>2</v>
      </c>
      <c r="J189" s="13">
        <v>2.2</v>
      </c>
      <c r="K189" s="13">
        <v>11</v>
      </c>
      <c r="L189" s="13">
        <v>9</v>
      </c>
      <c r="M189" s="13">
        <v>10</v>
      </c>
      <c r="N189" s="13">
        <v>9</v>
      </c>
      <c r="O189" s="13">
        <v>2.2</v>
      </c>
      <c r="P189" s="13">
        <v>2.9</v>
      </c>
      <c r="Q189" s="13">
        <v>350</v>
      </c>
      <c r="R189"/>
      <c r="S189"/>
      <c r="T189"/>
      <c r="U189"/>
      <c r="V189"/>
      <c r="W189"/>
      <c r="X189"/>
      <c r="Y189"/>
      <c r="Z189"/>
      <c r="AA189"/>
      <c r="AB189"/>
    </row>
    <row r="190" s="7" customFormat="1" customHeight="1" spans="1:28">
      <c r="A190" s="14" t="s">
        <v>802</v>
      </c>
      <c r="B190" s="14" t="str">
        <f>_xlfn.DISPIMG("ID_4D554B69695444E3AE3FE8A3B68FACF8",1)</f>
        <v>=DISPIMG("ID_4D554B69695444E3AE3FE8A3B68FACF8",1)</v>
      </c>
      <c r="C190" s="15">
        <v>5.9</v>
      </c>
      <c r="D190" s="15">
        <v>4.2</v>
      </c>
      <c r="E190" s="15">
        <v>5.9</v>
      </c>
      <c r="F190" s="15">
        <v>5.9</v>
      </c>
      <c r="G190" s="15">
        <v>5.5</v>
      </c>
      <c r="H190" s="15">
        <v>5.5</v>
      </c>
      <c r="I190" s="15">
        <v>5.1</v>
      </c>
      <c r="J190" s="15">
        <v>5.5</v>
      </c>
      <c r="K190" s="15">
        <v>21</v>
      </c>
      <c r="L190" s="15">
        <v>17</v>
      </c>
      <c r="M190" s="15">
        <v>19</v>
      </c>
      <c r="N190" s="15">
        <v>16</v>
      </c>
      <c r="O190" s="15">
        <v>6.4</v>
      </c>
      <c r="P190" s="15">
        <v>5</v>
      </c>
      <c r="Q190" s="15">
        <v>350</v>
      </c>
      <c r="R190"/>
      <c r="S190"/>
      <c r="T190"/>
      <c r="U190"/>
      <c r="V190"/>
      <c r="W190"/>
      <c r="X190"/>
      <c r="Y190"/>
      <c r="Z190"/>
      <c r="AA190"/>
      <c r="AB190"/>
    </row>
    <row r="191" s="7" customFormat="1" customHeight="1" spans="1:28">
      <c r="A191" s="8" t="s">
        <v>803</v>
      </c>
      <c r="B191" s="8" t="str">
        <f>_xlfn.DISPIMG("ID_4F39DE4A06CE460BAEB365392E4F0E7D",1)</f>
        <v>=DISPIMG("ID_4F39DE4A06CE460BAEB365392E4F0E7D",1)</v>
      </c>
      <c r="C191" s="9">
        <v>3.5</v>
      </c>
      <c r="D191" s="9">
        <v>4.3</v>
      </c>
      <c r="E191" s="9">
        <v>3.2</v>
      </c>
      <c r="F191" s="9">
        <v>2.9</v>
      </c>
      <c r="G191" s="9">
        <v>4.1</v>
      </c>
      <c r="H191" s="9">
        <v>4.6</v>
      </c>
      <c r="I191" s="9">
        <v>4.6</v>
      </c>
      <c r="J191" s="9">
        <v>2.9</v>
      </c>
      <c r="K191" s="9">
        <v>15</v>
      </c>
      <c r="L191" s="9">
        <v>27</v>
      </c>
      <c r="M191" s="9">
        <v>24</v>
      </c>
      <c r="N191" s="9">
        <v>25</v>
      </c>
      <c r="O191" s="9">
        <v>2.1</v>
      </c>
      <c r="P191" s="9">
        <v>3.5</v>
      </c>
      <c r="Q191" s="9">
        <v>280</v>
      </c>
      <c r="R191"/>
      <c r="S191"/>
      <c r="T191"/>
      <c r="U191"/>
      <c r="V191"/>
      <c r="W191"/>
      <c r="X191"/>
      <c r="Y191"/>
      <c r="Z191"/>
      <c r="AA191"/>
      <c r="AB191"/>
    </row>
    <row r="192" s="7" customFormat="1" customHeight="1" spans="1:28">
      <c r="A192" s="10" t="s">
        <v>804</v>
      </c>
      <c r="B192" s="10" t="str">
        <f>_xlfn.DISPIMG("ID_11DC1A51705C461090E0BD0FE69D215D",1)</f>
        <v>=DISPIMG("ID_11DC1A51705C461090E0BD0FE69D215D",1)</v>
      </c>
      <c r="C192" s="11">
        <v>12.8</v>
      </c>
      <c r="D192" s="11">
        <v>12.3</v>
      </c>
      <c r="E192" s="11">
        <v>12.3</v>
      </c>
      <c r="F192" s="11">
        <v>11.6</v>
      </c>
      <c r="G192" s="11">
        <v>10.6</v>
      </c>
      <c r="H192" s="11">
        <v>12.3</v>
      </c>
      <c r="I192" s="11">
        <v>9.9</v>
      </c>
      <c r="J192" s="11">
        <v>6.8</v>
      </c>
      <c r="K192" s="11">
        <v>49</v>
      </c>
      <c r="L192" s="11">
        <v>42</v>
      </c>
      <c r="M192" s="11">
        <v>38</v>
      </c>
      <c r="N192" s="11">
        <v>35</v>
      </c>
      <c r="O192" s="11">
        <v>12.5</v>
      </c>
      <c r="P192" s="11">
        <v>12.2</v>
      </c>
      <c r="Q192" s="11">
        <v>380</v>
      </c>
      <c r="R192"/>
      <c r="S192"/>
      <c r="T192"/>
      <c r="U192"/>
      <c r="V192"/>
      <c r="W192"/>
      <c r="X192"/>
      <c r="Y192"/>
      <c r="Z192"/>
      <c r="AA192"/>
      <c r="AB192"/>
    </row>
    <row r="193" s="7" customFormat="1" customHeight="1" spans="1:28">
      <c r="A193" s="12" t="s">
        <v>805</v>
      </c>
      <c r="B193" s="12" t="str">
        <f>_xlfn.DISPIMG("ID_5D7E1EFE7FF34401B5F038D0F2A8C442",1)</f>
        <v>=DISPIMG("ID_5D7E1EFE7FF34401B5F038D0F2A8C442",1)</v>
      </c>
      <c r="C193" s="13">
        <v>1.8</v>
      </c>
      <c r="D193" s="13">
        <v>2.5</v>
      </c>
      <c r="E193" s="13">
        <v>1.6</v>
      </c>
      <c r="F193" s="13">
        <v>1.4</v>
      </c>
      <c r="G193" s="13">
        <v>2.4</v>
      </c>
      <c r="H193" s="13">
        <v>2.8</v>
      </c>
      <c r="I193" s="13">
        <v>2.8</v>
      </c>
      <c r="J193" s="13">
        <v>1.4</v>
      </c>
      <c r="K193" s="13">
        <v>13</v>
      </c>
      <c r="L193" s="13">
        <v>22</v>
      </c>
      <c r="M193" s="13">
        <v>19</v>
      </c>
      <c r="N193" s="13">
        <v>21</v>
      </c>
      <c r="O193" s="13">
        <v>0.7</v>
      </c>
      <c r="P193" s="13">
        <v>2.4</v>
      </c>
      <c r="Q193" s="13">
        <v>270</v>
      </c>
      <c r="R193"/>
      <c r="S193"/>
      <c r="T193"/>
      <c r="U193"/>
      <c r="V193"/>
      <c r="W193"/>
      <c r="X193"/>
      <c r="Y193"/>
      <c r="Z193"/>
      <c r="AA193"/>
      <c r="AB193"/>
    </row>
    <row r="194" s="7" customFormat="1" customHeight="1" spans="1:28">
      <c r="A194" s="14" t="s">
        <v>806</v>
      </c>
      <c r="B194" s="14" t="str">
        <f>_xlfn.DISPIMG("ID_34D0CC9459A0489BB4788E959B5BAD98",1)</f>
        <v>=DISPIMG("ID_34D0CC9459A0489BB4788E959B5BAD98",1)</v>
      </c>
      <c r="C194" s="15">
        <v>5.5</v>
      </c>
      <c r="D194" s="15">
        <v>6.9</v>
      </c>
      <c r="E194" s="15">
        <v>5.1</v>
      </c>
      <c r="F194" s="15">
        <v>4.6</v>
      </c>
      <c r="G194" s="15">
        <v>6.6</v>
      </c>
      <c r="H194" s="15">
        <v>7.3</v>
      </c>
      <c r="I194" s="15">
        <v>7.3</v>
      </c>
      <c r="J194" s="15">
        <v>4.6</v>
      </c>
      <c r="K194" s="15">
        <v>22</v>
      </c>
      <c r="L194" s="15">
        <v>39</v>
      </c>
      <c r="M194" s="15">
        <v>35</v>
      </c>
      <c r="N194" s="15">
        <v>37</v>
      </c>
      <c r="O194" s="15">
        <v>3.6</v>
      </c>
      <c r="P194" s="15">
        <v>4.6</v>
      </c>
      <c r="Q194" s="15">
        <v>280</v>
      </c>
      <c r="R194"/>
      <c r="S194"/>
      <c r="T194"/>
      <c r="U194"/>
      <c r="V194"/>
      <c r="W194"/>
      <c r="X194"/>
      <c r="Y194"/>
      <c r="Z194"/>
      <c r="AA194"/>
      <c r="AB194"/>
    </row>
    <row r="195" s="7" customFormat="1" customHeight="1" spans="1:28">
      <c r="A195" s="8" t="s">
        <v>807</v>
      </c>
      <c r="B195" s="8" t="str">
        <f>_xlfn.DISPIMG("ID_134239101B1E42BB80148AA7189498AC",1)</f>
        <v>=DISPIMG("ID_134239101B1E42BB80148AA7189498AC",1)</v>
      </c>
      <c r="C195" s="9">
        <v>4.1</v>
      </c>
      <c r="D195" s="9">
        <v>2.5</v>
      </c>
      <c r="E195" s="9">
        <v>4.8</v>
      </c>
      <c r="F195" s="9">
        <v>3.7</v>
      </c>
      <c r="G195" s="9">
        <v>1.6</v>
      </c>
      <c r="H195" s="9">
        <v>3.4</v>
      </c>
      <c r="I195" s="9">
        <v>1.2</v>
      </c>
      <c r="J195" s="9">
        <v>1.6</v>
      </c>
      <c r="K195" s="9">
        <v>32</v>
      </c>
      <c r="L195" s="9">
        <v>12</v>
      </c>
      <c r="M195" s="9">
        <v>15</v>
      </c>
      <c r="N195" s="9">
        <v>9</v>
      </c>
      <c r="O195" s="9">
        <v>3.3</v>
      </c>
      <c r="P195" s="9">
        <v>3.9</v>
      </c>
      <c r="Q195" s="9">
        <v>360</v>
      </c>
      <c r="R195"/>
      <c r="S195"/>
      <c r="T195"/>
      <c r="U195"/>
      <c r="V195"/>
      <c r="W195"/>
      <c r="X195"/>
      <c r="Y195"/>
      <c r="Z195"/>
      <c r="AA195"/>
      <c r="AB195"/>
    </row>
    <row r="196" s="7" customFormat="1" customHeight="1" spans="1:28">
      <c r="A196" s="10" t="s">
        <v>808</v>
      </c>
      <c r="B196" s="10" t="str">
        <f>_xlfn.DISPIMG("ID_6B1554A6AEEA4264B2EA519B2674051E",1)</f>
        <v>=DISPIMG("ID_6B1554A6AEEA4264B2EA519B2674051E",1)</v>
      </c>
      <c r="C196" s="11">
        <v>12.6</v>
      </c>
      <c r="D196" s="11">
        <v>8.6</v>
      </c>
      <c r="E196" s="11">
        <v>14.2</v>
      </c>
      <c r="F196" s="11">
        <v>11.5</v>
      </c>
      <c r="G196" s="11">
        <v>6.7</v>
      </c>
      <c r="H196" s="11">
        <v>11.5</v>
      </c>
      <c r="I196" s="11">
        <v>5.3</v>
      </c>
      <c r="J196" s="11">
        <v>6.7</v>
      </c>
      <c r="K196" s="11">
        <v>87</v>
      </c>
      <c r="L196" s="11">
        <v>37</v>
      </c>
      <c r="M196" s="11">
        <v>43</v>
      </c>
      <c r="N196" s="11">
        <v>25</v>
      </c>
      <c r="O196" s="11">
        <v>12.4</v>
      </c>
      <c r="P196" s="11">
        <v>11</v>
      </c>
      <c r="Q196" s="11">
        <v>370</v>
      </c>
      <c r="R196"/>
      <c r="S196"/>
      <c r="T196"/>
      <c r="U196"/>
      <c r="V196"/>
      <c r="W196"/>
      <c r="X196"/>
      <c r="Y196"/>
      <c r="Z196"/>
      <c r="AA196"/>
      <c r="AB196"/>
    </row>
    <row r="197" s="7" customFormat="1" customHeight="1" spans="1:28">
      <c r="A197" s="12" t="s">
        <v>809</v>
      </c>
      <c r="B197" s="12" t="str">
        <f>_xlfn.DISPIMG("ID_EA2390AE820C4826AB2809DDD5694D1F",1)</f>
        <v>=DISPIMG("ID_EA2390AE820C4826AB2809DDD5694D1F",1)</v>
      </c>
      <c r="C197" s="13">
        <v>2.8</v>
      </c>
      <c r="D197" s="13">
        <v>2.2</v>
      </c>
      <c r="E197" s="13">
        <v>3.3</v>
      </c>
      <c r="F197" s="13">
        <v>2.5</v>
      </c>
      <c r="G197" s="13">
        <v>1.8</v>
      </c>
      <c r="H197" s="13">
        <v>3.1</v>
      </c>
      <c r="I197" s="13">
        <v>1.5</v>
      </c>
      <c r="J197" s="13">
        <v>1.8</v>
      </c>
      <c r="K197" s="13">
        <v>25</v>
      </c>
      <c r="L197" s="13">
        <v>9</v>
      </c>
      <c r="M197" s="13">
        <v>11</v>
      </c>
      <c r="N197" s="13">
        <v>7</v>
      </c>
      <c r="O197" s="13">
        <v>2.6</v>
      </c>
      <c r="P197" s="13">
        <v>2.9</v>
      </c>
      <c r="Q197" s="13">
        <v>360</v>
      </c>
      <c r="R197"/>
      <c r="S197"/>
      <c r="T197"/>
      <c r="U197"/>
      <c r="V197"/>
      <c r="W197"/>
      <c r="X197"/>
      <c r="Y197"/>
      <c r="Z197"/>
      <c r="AA197"/>
      <c r="AB197"/>
    </row>
    <row r="198" s="7" customFormat="1" customHeight="1" spans="1:28">
      <c r="A198" s="14" t="s">
        <v>810</v>
      </c>
      <c r="B198" s="14" t="str">
        <f>_xlfn.DISPIMG("ID_BDDA99D71CD547E7A058C4FBD23F2CD5",1)</f>
        <v>=DISPIMG("ID_BDDA99D71CD547E7A058C4FBD23F2CD5",1)</v>
      </c>
      <c r="C198" s="15">
        <v>5.1</v>
      </c>
      <c r="D198" s="15">
        <v>4.7</v>
      </c>
      <c r="E198" s="15">
        <v>7.3</v>
      </c>
      <c r="F198" s="15">
        <v>4.6</v>
      </c>
      <c r="G198" s="15">
        <v>5.4</v>
      </c>
      <c r="H198" s="15">
        <v>7.2</v>
      </c>
      <c r="I198" s="15">
        <v>6.6</v>
      </c>
      <c r="J198" s="15">
        <v>5.4</v>
      </c>
      <c r="K198" s="15">
        <v>47</v>
      </c>
      <c r="L198" s="15">
        <v>40</v>
      </c>
      <c r="M198" s="15">
        <v>41</v>
      </c>
      <c r="N198" s="15">
        <v>39</v>
      </c>
      <c r="O198" s="15">
        <v>4.3</v>
      </c>
      <c r="P198" s="15">
        <v>5</v>
      </c>
      <c r="Q198" s="15">
        <v>280</v>
      </c>
      <c r="R198"/>
      <c r="S198"/>
      <c r="T198"/>
      <c r="U198"/>
      <c r="V198"/>
      <c r="W198"/>
      <c r="X198"/>
      <c r="Y198"/>
      <c r="Z198"/>
      <c r="AA198"/>
      <c r="AB198"/>
    </row>
    <row r="199" s="7" customFormat="1" customHeight="1" spans="1:28">
      <c r="A199" s="8" t="s">
        <v>811</v>
      </c>
      <c r="B199" s="8" t="str">
        <f>_xlfn.DISPIMG("ID_EFFAF6A9CA294CDF90537502B14A6F4F",1)</f>
        <v>=DISPIMG("ID_EFFAF6A9CA294CDF90537502B14A6F4F",1)</v>
      </c>
      <c r="C199" s="9">
        <v>4.7</v>
      </c>
      <c r="D199" s="9">
        <v>2.3</v>
      </c>
      <c r="E199" s="9">
        <v>3.7</v>
      </c>
      <c r="F199" s="9">
        <v>3.7</v>
      </c>
      <c r="G199" s="9">
        <v>4.1</v>
      </c>
      <c r="H199" s="9">
        <v>4.5</v>
      </c>
      <c r="I199" s="9">
        <v>2.8</v>
      </c>
      <c r="J199" s="9">
        <v>3.9</v>
      </c>
      <c r="K199" s="9">
        <v>18</v>
      </c>
      <c r="L199" s="9">
        <v>13</v>
      </c>
      <c r="M199" s="9">
        <v>15</v>
      </c>
      <c r="N199" s="9">
        <v>11</v>
      </c>
      <c r="O199" s="9">
        <v>3</v>
      </c>
      <c r="P199" s="9">
        <v>3.9</v>
      </c>
      <c r="Q199" s="9">
        <v>350</v>
      </c>
      <c r="R199"/>
      <c r="S199"/>
      <c r="T199"/>
      <c r="U199"/>
      <c r="V199"/>
      <c r="W199"/>
      <c r="X199"/>
      <c r="Y199"/>
      <c r="Z199"/>
      <c r="AA199"/>
      <c r="AB199"/>
    </row>
    <row r="200" s="7" customFormat="1" customHeight="1" spans="1:28">
      <c r="A200" s="10" t="s">
        <v>812</v>
      </c>
      <c r="B200" s="10" t="str">
        <f>_xlfn.DISPIMG("ID_DEC6F0D416374C289109A54AEEF19128",1)</f>
        <v>=DISPIMG("ID_DEC6F0D416374C289109A54AEEF19128",1)</v>
      </c>
      <c r="C200" s="11">
        <v>12.8</v>
      </c>
      <c r="D200" s="11">
        <v>7.7</v>
      </c>
      <c r="E200" s="11">
        <v>10.6</v>
      </c>
      <c r="F200" s="11">
        <v>10.6</v>
      </c>
      <c r="G200" s="11">
        <v>11.6</v>
      </c>
      <c r="H200" s="11">
        <v>12.3</v>
      </c>
      <c r="I200" s="11">
        <v>8.5</v>
      </c>
      <c r="J200" s="11">
        <v>11.1</v>
      </c>
      <c r="K200" s="11">
        <v>47</v>
      </c>
      <c r="L200" s="11">
        <v>34</v>
      </c>
      <c r="M200" s="11">
        <v>36</v>
      </c>
      <c r="N200" s="11">
        <v>27</v>
      </c>
      <c r="O200" s="11">
        <v>9.8</v>
      </c>
      <c r="P200" s="11">
        <v>11.1</v>
      </c>
      <c r="Q200" s="11">
        <v>370</v>
      </c>
      <c r="R200"/>
      <c r="S200"/>
      <c r="T200"/>
      <c r="U200"/>
      <c r="V200"/>
      <c r="W200"/>
      <c r="X200"/>
      <c r="Y200"/>
      <c r="Z200"/>
      <c r="AA200"/>
      <c r="AB200"/>
    </row>
    <row r="201" s="7" customFormat="1" customHeight="1" spans="1:28">
      <c r="A201" s="12" t="s">
        <v>813</v>
      </c>
      <c r="B201" s="12" t="str">
        <f>_xlfn.DISPIMG("ID_20F6DB52A64D45E59FBBF4F2EEB8AE1D",1)</f>
        <v>=DISPIMG("ID_20F6DB52A64D45E59FBBF4F2EEB8AE1D",1)</v>
      </c>
      <c r="C201" s="13">
        <v>2.8</v>
      </c>
      <c r="D201" s="13">
        <v>1.4</v>
      </c>
      <c r="E201" s="13">
        <v>2.4</v>
      </c>
      <c r="F201" s="13">
        <v>2.2</v>
      </c>
      <c r="G201" s="13">
        <v>2.4</v>
      </c>
      <c r="H201" s="13">
        <v>2.6</v>
      </c>
      <c r="I201" s="13">
        <v>1.4</v>
      </c>
      <c r="J201" s="13">
        <v>2.2</v>
      </c>
      <c r="K201" s="13">
        <v>15</v>
      </c>
      <c r="L201" s="13">
        <v>10</v>
      </c>
      <c r="M201" s="13">
        <v>12</v>
      </c>
      <c r="N201" s="13">
        <v>9</v>
      </c>
      <c r="O201" s="13">
        <v>1.5</v>
      </c>
      <c r="P201" s="13">
        <v>2.6</v>
      </c>
      <c r="Q201" s="13">
        <v>350</v>
      </c>
      <c r="R201"/>
      <c r="S201"/>
      <c r="T201"/>
      <c r="U201"/>
      <c r="V201"/>
      <c r="W201"/>
      <c r="X201"/>
      <c r="Y201"/>
      <c r="Z201"/>
      <c r="AA201"/>
      <c r="AB201"/>
    </row>
    <row r="202" s="7" customFormat="1" customHeight="1" spans="1:28">
      <c r="A202" s="14" t="s">
        <v>814</v>
      </c>
      <c r="B202" s="14" t="str">
        <f>_xlfn.DISPIMG("ID_856DD82D0B9442AB87E78B4265AC4410",1)</f>
        <v>=DISPIMG("ID_856DD82D0B9442AB87E78B4265AC4410",1)</v>
      </c>
      <c r="C202" s="15">
        <v>7.4</v>
      </c>
      <c r="D202" s="15">
        <v>3.5</v>
      </c>
      <c r="E202" s="15">
        <v>5.7</v>
      </c>
      <c r="F202" s="15">
        <v>5.7</v>
      </c>
      <c r="G202" s="15">
        <v>6.5</v>
      </c>
      <c r="H202" s="15">
        <v>7.1</v>
      </c>
      <c r="I202" s="15">
        <v>4.3</v>
      </c>
      <c r="J202" s="15">
        <v>6.1</v>
      </c>
      <c r="K202" s="15">
        <v>24</v>
      </c>
      <c r="L202" s="15">
        <v>16</v>
      </c>
      <c r="M202" s="15">
        <v>20</v>
      </c>
      <c r="N202" s="15">
        <v>13</v>
      </c>
      <c r="O202" s="15">
        <v>5.3</v>
      </c>
      <c r="P202" s="15">
        <v>5.5</v>
      </c>
      <c r="Q202" s="15">
        <v>350</v>
      </c>
      <c r="R202"/>
      <c r="S202"/>
      <c r="T202"/>
      <c r="U202"/>
      <c r="V202"/>
      <c r="W202"/>
      <c r="X202"/>
      <c r="Y202"/>
      <c r="Z202"/>
      <c r="AA202"/>
      <c r="AB202"/>
    </row>
    <row r="203" s="7" customFormat="1" customHeight="1" spans="1:28">
      <c r="A203" s="8" t="s">
        <v>815</v>
      </c>
      <c r="B203" s="8" t="str">
        <f>_xlfn.DISPIMG("ID_08E900AF9E384D9DB6FFAF99E28356F1",1)</f>
        <v>=DISPIMG("ID_08E900AF9E384D9DB6FFAF99E28356F1",1)</v>
      </c>
      <c r="C203" s="9">
        <v>3.6</v>
      </c>
      <c r="D203" s="9">
        <v>3</v>
      </c>
      <c r="E203" s="9">
        <v>3</v>
      </c>
      <c r="F203" s="9">
        <v>2.2</v>
      </c>
      <c r="G203" s="9">
        <v>4.2</v>
      </c>
      <c r="H203" s="9">
        <v>4.8</v>
      </c>
      <c r="I203" s="9">
        <v>3.8</v>
      </c>
      <c r="J203" s="9">
        <v>4.2</v>
      </c>
      <c r="K203" s="9">
        <v>21</v>
      </c>
      <c r="L203" s="9">
        <v>29</v>
      </c>
      <c r="M203" s="9">
        <v>28</v>
      </c>
      <c r="N203" s="9">
        <v>27</v>
      </c>
      <c r="O203" s="9">
        <v>2.2</v>
      </c>
      <c r="P203" s="9">
        <v>3.5</v>
      </c>
      <c r="Q203" s="9">
        <v>280</v>
      </c>
      <c r="R203"/>
      <c r="S203"/>
      <c r="T203"/>
      <c r="U203"/>
      <c r="V203"/>
      <c r="W203"/>
      <c r="X203"/>
      <c r="Y203"/>
      <c r="Z203"/>
      <c r="AA203"/>
      <c r="AB203"/>
    </row>
    <row r="204" s="7" customFormat="1" customHeight="1" spans="1:28">
      <c r="A204" s="10" t="s">
        <v>816</v>
      </c>
      <c r="B204" s="10" t="str">
        <f>_xlfn.DISPIMG("ID_6A8526A7F266469D8AF8B76F04D59CC6",1)</f>
        <v>=DISPIMG("ID_6A8526A7F266469D8AF8B76F04D59CC6",1)</v>
      </c>
      <c r="C204" s="11">
        <v>13.7</v>
      </c>
      <c r="D204" s="11">
        <v>12.2</v>
      </c>
      <c r="E204" s="11">
        <v>13.1</v>
      </c>
      <c r="F204" s="11">
        <v>12.2</v>
      </c>
      <c r="G204" s="11">
        <v>9.9</v>
      </c>
      <c r="H204" s="11">
        <v>13.4</v>
      </c>
      <c r="I204" s="11">
        <v>6.1</v>
      </c>
      <c r="J204" s="11">
        <v>9.9</v>
      </c>
      <c r="K204" s="11">
        <v>62</v>
      </c>
      <c r="L204" s="11">
        <v>43</v>
      </c>
      <c r="M204" s="11">
        <v>46</v>
      </c>
      <c r="N204" s="11">
        <v>28</v>
      </c>
      <c r="O204" s="11">
        <v>16.1</v>
      </c>
      <c r="P204" s="11">
        <v>12.7</v>
      </c>
      <c r="Q204" s="11">
        <v>380</v>
      </c>
      <c r="R204"/>
      <c r="S204"/>
      <c r="T204"/>
      <c r="U204"/>
      <c r="V204"/>
      <c r="W204"/>
      <c r="X204"/>
      <c r="Y204"/>
      <c r="Z204"/>
      <c r="AA204"/>
      <c r="AB204"/>
    </row>
    <row r="205" s="7" customFormat="1" customHeight="1" spans="1:28">
      <c r="A205" s="12" t="s">
        <v>817</v>
      </c>
      <c r="B205" s="12" t="str">
        <f>_xlfn.DISPIMG("ID_B12C1025FA37402688BD51A7B813DF68",1)</f>
        <v>=DISPIMG("ID_B12C1025FA37402688BD51A7B813DF68",1)</v>
      </c>
      <c r="C205" s="13">
        <v>1.7</v>
      </c>
      <c r="D205" s="13">
        <v>1.9</v>
      </c>
      <c r="E205" s="13">
        <v>1.5</v>
      </c>
      <c r="F205" s="13">
        <v>0.9</v>
      </c>
      <c r="G205" s="13">
        <v>1.7</v>
      </c>
      <c r="H205" s="13">
        <v>2.3</v>
      </c>
      <c r="I205" s="13">
        <v>1.7</v>
      </c>
      <c r="J205" s="13">
        <v>1.7</v>
      </c>
      <c r="K205" s="13">
        <v>10</v>
      </c>
      <c r="L205" s="13">
        <v>18</v>
      </c>
      <c r="M205" s="13">
        <v>16</v>
      </c>
      <c r="N205" s="13">
        <v>13</v>
      </c>
      <c r="O205" s="13">
        <v>0.2</v>
      </c>
      <c r="P205" s="13">
        <v>1.5</v>
      </c>
      <c r="Q205" s="13">
        <v>250</v>
      </c>
      <c r="R205"/>
      <c r="S205"/>
      <c r="T205"/>
      <c r="U205"/>
      <c r="V205"/>
      <c r="W205"/>
      <c r="X205"/>
      <c r="Y205"/>
      <c r="Z205"/>
      <c r="AA205"/>
      <c r="AB205"/>
    </row>
    <row r="206" s="7" customFormat="1" customHeight="1" spans="1:28">
      <c r="A206" s="14" t="s">
        <v>818</v>
      </c>
      <c r="B206" s="14" t="str">
        <f>_xlfn.DISPIMG("ID_C2FF7C9C8F8B4A7C9995967B7157BBE8",1)</f>
        <v>=DISPIMG("ID_C2FF7C9C8F8B4A7C9995967B7157BBE8",1)</v>
      </c>
      <c r="C206" s="15">
        <v>7.1</v>
      </c>
      <c r="D206" s="15">
        <v>5.9</v>
      </c>
      <c r="E206" s="15">
        <v>6.8</v>
      </c>
      <c r="F206" s="15">
        <v>5.9</v>
      </c>
      <c r="G206" s="15">
        <v>4.1</v>
      </c>
      <c r="H206" s="15">
        <v>6.8</v>
      </c>
      <c r="I206" s="15">
        <v>1.8</v>
      </c>
      <c r="J206" s="15">
        <v>4.1</v>
      </c>
      <c r="K206" s="15">
        <v>31</v>
      </c>
      <c r="L206" s="15">
        <v>21</v>
      </c>
      <c r="M206" s="15">
        <v>22</v>
      </c>
      <c r="N206" s="15">
        <v>10</v>
      </c>
      <c r="O206" s="15">
        <v>7.4</v>
      </c>
      <c r="P206" s="15">
        <v>6.3</v>
      </c>
      <c r="Q206" s="15">
        <v>360</v>
      </c>
      <c r="R206"/>
      <c r="S206"/>
      <c r="T206"/>
      <c r="U206"/>
      <c r="V206"/>
      <c r="W206"/>
      <c r="X206"/>
      <c r="Y206"/>
      <c r="Z206"/>
      <c r="AA206"/>
      <c r="AB206"/>
    </row>
    <row r="207" s="7" customFormat="1" customHeight="1" spans="1:28">
      <c r="A207" s="8" t="s">
        <v>819</v>
      </c>
      <c r="B207" s="8" t="str">
        <f>_xlfn.DISPIMG("ID_82EAF21F4B8D4F4E8CA392BC5DE57C20",1)</f>
        <v>=DISPIMG("ID_82EAF21F4B8D4F4E8CA392BC5DE57C20",1)</v>
      </c>
      <c r="C207" s="9">
        <v>4.5</v>
      </c>
      <c r="D207" s="9">
        <v>3.7</v>
      </c>
      <c r="E207" s="9">
        <v>4.3</v>
      </c>
      <c r="F207" s="9">
        <v>4.2</v>
      </c>
      <c r="G207" s="9">
        <v>3.7</v>
      </c>
      <c r="H207" s="9">
        <v>4.1</v>
      </c>
      <c r="I207" s="9">
        <v>3.1</v>
      </c>
      <c r="J207" s="9">
        <v>3.5</v>
      </c>
      <c r="K207" s="9">
        <v>24</v>
      </c>
      <c r="L207" s="9">
        <v>15</v>
      </c>
      <c r="M207" s="9">
        <v>15</v>
      </c>
      <c r="N207" s="9">
        <v>9</v>
      </c>
      <c r="O207" s="9">
        <v>4</v>
      </c>
      <c r="P207" s="9">
        <v>5.3</v>
      </c>
      <c r="Q207" s="9">
        <v>380</v>
      </c>
      <c r="R207"/>
      <c r="S207"/>
      <c r="T207"/>
      <c r="U207"/>
      <c r="V207"/>
      <c r="W207"/>
      <c r="X207"/>
      <c r="Y207"/>
      <c r="Z207"/>
      <c r="AA207"/>
      <c r="AB207"/>
    </row>
    <row r="208" s="7" customFormat="1" customHeight="1" spans="1:28">
      <c r="A208" s="10" t="s">
        <v>820</v>
      </c>
      <c r="B208" s="10" t="str">
        <f>_xlfn.DISPIMG("ID_5C7DC8581BAC4B638A7180AEFA469F72",1)</f>
        <v>=DISPIMG("ID_5C7DC8581BAC4B638A7180AEFA469F72",1)</v>
      </c>
      <c r="C208" s="11">
        <v>12.1</v>
      </c>
      <c r="D208" s="11">
        <v>9.2</v>
      </c>
      <c r="E208" s="11">
        <v>12.1</v>
      </c>
      <c r="F208" s="11">
        <v>11.1</v>
      </c>
      <c r="G208" s="11">
        <v>9.2</v>
      </c>
      <c r="H208" s="11">
        <v>10.6</v>
      </c>
      <c r="I208" s="11">
        <v>6.8</v>
      </c>
      <c r="J208" s="11">
        <v>8.5</v>
      </c>
      <c r="K208" s="11">
        <v>46</v>
      </c>
      <c r="L208" s="11">
        <v>32</v>
      </c>
      <c r="M208" s="11">
        <v>33</v>
      </c>
      <c r="N208" s="11">
        <v>18</v>
      </c>
      <c r="O208" s="11">
        <v>8.8</v>
      </c>
      <c r="P208" s="11">
        <v>8.9</v>
      </c>
      <c r="Q208" s="11">
        <v>350</v>
      </c>
      <c r="R208"/>
      <c r="S208"/>
      <c r="T208"/>
      <c r="U208"/>
      <c r="V208"/>
      <c r="W208"/>
      <c r="X208"/>
      <c r="Y208"/>
      <c r="Z208"/>
      <c r="AA208"/>
      <c r="AB208"/>
    </row>
    <row r="209" s="7" customFormat="1" customHeight="1" spans="1:28">
      <c r="A209" s="12" t="s">
        <v>821</v>
      </c>
      <c r="B209" s="12" t="str">
        <f>_xlfn.DISPIMG("ID_8893FCBE3D2D472B82430479CF38EFF4",1)</f>
        <v>=DISPIMG("ID_8893FCBE3D2D472B82430479CF38EFF4",1)</v>
      </c>
      <c r="C209" s="13">
        <v>3.4</v>
      </c>
      <c r="D209" s="13">
        <v>2.8</v>
      </c>
      <c r="E209" s="13">
        <v>3.4</v>
      </c>
      <c r="F209" s="13">
        <v>3.4</v>
      </c>
      <c r="G209" s="13">
        <v>2.6</v>
      </c>
      <c r="H209" s="13">
        <v>3</v>
      </c>
      <c r="I209" s="13">
        <v>2</v>
      </c>
      <c r="J209" s="13">
        <v>2.4</v>
      </c>
      <c r="K209" s="13">
        <v>18</v>
      </c>
      <c r="L209" s="13">
        <v>13</v>
      </c>
      <c r="M209" s="13">
        <v>14</v>
      </c>
      <c r="N209" s="13">
        <v>9</v>
      </c>
      <c r="O209" s="13">
        <v>2.3</v>
      </c>
      <c r="P209" s="13">
        <v>3.4</v>
      </c>
      <c r="Q209" s="13">
        <v>350</v>
      </c>
      <c r="R209"/>
      <c r="S209"/>
      <c r="T209"/>
      <c r="U209"/>
      <c r="V209"/>
      <c r="W209"/>
      <c r="X209"/>
      <c r="Y209"/>
      <c r="Z209"/>
      <c r="AA209"/>
      <c r="AB209"/>
    </row>
    <row r="210" s="7" customFormat="1" customHeight="1" spans="1:28">
      <c r="A210" s="14" t="s">
        <v>822</v>
      </c>
      <c r="B210" s="14" t="str">
        <f>_xlfn.DISPIMG("ID_F8F43BB4ED454397875E1B9C52832413",1)</f>
        <v>=DISPIMG("ID_F8F43BB4ED454397875E1B9C52832413",1)</v>
      </c>
      <c r="C210" s="15">
        <v>7.8</v>
      </c>
      <c r="D210" s="15">
        <v>6.5</v>
      </c>
      <c r="E210" s="15">
        <v>7.6</v>
      </c>
      <c r="F210" s="15">
        <v>7.4</v>
      </c>
      <c r="G210" s="15">
        <v>6.5</v>
      </c>
      <c r="H210" s="15">
        <v>7.1</v>
      </c>
      <c r="I210" s="15">
        <v>5.3</v>
      </c>
      <c r="J210" s="15">
        <v>6.1</v>
      </c>
      <c r="K210" s="15">
        <v>38</v>
      </c>
      <c r="L210" s="15">
        <v>25</v>
      </c>
      <c r="M210" s="15">
        <v>26</v>
      </c>
      <c r="N210" s="15">
        <v>16</v>
      </c>
      <c r="O210" s="15">
        <v>7</v>
      </c>
      <c r="P210" s="15">
        <v>6.9</v>
      </c>
      <c r="Q210" s="15">
        <v>370</v>
      </c>
      <c r="R210"/>
      <c r="S210"/>
      <c r="T210"/>
      <c r="U210"/>
      <c r="V210"/>
      <c r="W210"/>
      <c r="X210"/>
      <c r="Y210"/>
      <c r="Z210"/>
      <c r="AA210"/>
      <c r="AB210"/>
    </row>
    <row r="211" s="7" customFormat="1" customHeight="1" spans="1:28">
      <c r="A211" s="8" t="s">
        <v>823</v>
      </c>
      <c r="B211" s="8" t="str">
        <f>_xlfn.DISPIMG("ID_10C9DCFD29BA488AA76B2928BCEF92E5",1)</f>
        <v>=DISPIMG("ID_10C9DCFD29BA488AA76B2928BCEF92E5",1)</v>
      </c>
      <c r="C211" s="9">
        <v>4.5</v>
      </c>
      <c r="D211" s="9">
        <v>3.5</v>
      </c>
      <c r="E211" s="9">
        <v>4.4</v>
      </c>
      <c r="F211" s="9">
        <v>4.1</v>
      </c>
      <c r="G211" s="9">
        <v>4.6</v>
      </c>
      <c r="H211" s="9">
        <v>3.4</v>
      </c>
      <c r="I211" s="9">
        <v>2.3</v>
      </c>
      <c r="J211" s="9">
        <v>3.4</v>
      </c>
      <c r="K211" s="9">
        <v>27</v>
      </c>
      <c r="L211" s="9">
        <v>15</v>
      </c>
      <c r="M211" s="9">
        <v>17</v>
      </c>
      <c r="N211" s="9">
        <v>13</v>
      </c>
      <c r="O211" s="9">
        <v>3.1</v>
      </c>
      <c r="P211" s="9">
        <v>4.7</v>
      </c>
      <c r="Q211" s="9">
        <v>370</v>
      </c>
      <c r="R211"/>
      <c r="S211"/>
      <c r="T211"/>
      <c r="U211"/>
      <c r="V211"/>
      <c r="W211"/>
      <c r="X211"/>
      <c r="Y211"/>
      <c r="Z211"/>
      <c r="AA211"/>
      <c r="AB211"/>
    </row>
    <row r="212" s="7" customFormat="1" customHeight="1" spans="1:28">
      <c r="A212" s="10" t="s">
        <v>824</v>
      </c>
      <c r="B212" s="10" t="str">
        <f>_xlfn.DISPIMG("ID_FE48B253B3B940448CC6956FC32C3EB3",1)</f>
        <v>=DISPIMG("ID_FE48B253B3B940448CC6956FC32C3EB3",1)</v>
      </c>
      <c r="C212" s="11">
        <v>13</v>
      </c>
      <c r="D212" s="11">
        <v>10.1</v>
      </c>
      <c r="E212" s="11">
        <v>12.7</v>
      </c>
      <c r="F212" s="11">
        <v>11.8</v>
      </c>
      <c r="G212" s="11">
        <v>13.3</v>
      </c>
      <c r="H212" s="11">
        <v>10</v>
      </c>
      <c r="I212" s="11">
        <v>6.9</v>
      </c>
      <c r="J212" s="11">
        <v>10</v>
      </c>
      <c r="K212" s="11">
        <v>60</v>
      </c>
      <c r="L212" s="11">
        <v>33</v>
      </c>
      <c r="M212" s="11">
        <v>36</v>
      </c>
      <c r="N212" s="11">
        <v>27</v>
      </c>
      <c r="O212" s="11">
        <v>9.9</v>
      </c>
      <c r="P212" s="11">
        <v>10.7</v>
      </c>
      <c r="Q212" s="11">
        <v>370</v>
      </c>
      <c r="R212"/>
      <c r="S212"/>
      <c r="T212"/>
      <c r="U212"/>
      <c r="V212"/>
      <c r="W212"/>
      <c r="X212"/>
      <c r="Y212"/>
      <c r="Z212"/>
      <c r="AA212"/>
      <c r="AB212"/>
    </row>
    <row r="213" s="7" customFormat="1" customHeight="1" spans="1:28">
      <c r="A213" s="12" t="s">
        <v>825</v>
      </c>
      <c r="B213" s="12" t="str">
        <f>_xlfn.DISPIMG("ID_B72C7D8AD5E845B8A32505537A1974E2",1)</f>
        <v>=DISPIMG("ID_B72C7D8AD5E845B8A32505537A1974E2",1)</v>
      </c>
      <c r="C213" s="13">
        <v>3.4</v>
      </c>
      <c r="D213" s="13">
        <v>2.6</v>
      </c>
      <c r="E213" s="13">
        <v>3.3</v>
      </c>
      <c r="F213" s="13">
        <v>3.1</v>
      </c>
      <c r="G213" s="13">
        <v>3.5</v>
      </c>
      <c r="H213" s="13">
        <v>2.7</v>
      </c>
      <c r="I213" s="13">
        <v>1.9</v>
      </c>
      <c r="J213" s="13">
        <v>2.7</v>
      </c>
      <c r="K213" s="13">
        <v>19</v>
      </c>
      <c r="L213" s="13">
        <v>10</v>
      </c>
      <c r="M213" s="13">
        <v>11</v>
      </c>
      <c r="N213" s="13">
        <v>8</v>
      </c>
      <c r="O213" s="13">
        <v>2.4</v>
      </c>
      <c r="P213" s="13">
        <v>3.5</v>
      </c>
      <c r="Q213" s="13">
        <v>370</v>
      </c>
      <c r="R213"/>
      <c r="S213"/>
      <c r="T213"/>
      <c r="U213"/>
      <c r="V213"/>
      <c r="W213"/>
      <c r="X213"/>
      <c r="Y213"/>
      <c r="Z213"/>
      <c r="AA213"/>
      <c r="AB213"/>
    </row>
    <row r="214" s="7" customFormat="1" customHeight="1" spans="1:28">
      <c r="A214" s="14" t="s">
        <v>826</v>
      </c>
      <c r="B214" s="14" t="str">
        <f>_xlfn.DISPIMG("ID_7F874BCF8EFE43BEAFA82A73EEF00DDB",1)</f>
        <v>=DISPIMG("ID_7F874BCF8EFE43BEAFA82A73EEF00DDB",1)</v>
      </c>
      <c r="C214" s="15">
        <v>7.6</v>
      </c>
      <c r="D214" s="15">
        <v>5.9</v>
      </c>
      <c r="E214" s="15">
        <v>7.5</v>
      </c>
      <c r="F214" s="15">
        <v>6.9</v>
      </c>
      <c r="G214" s="15">
        <v>7.9</v>
      </c>
      <c r="H214" s="15">
        <v>6</v>
      </c>
      <c r="I214" s="15">
        <v>4.2</v>
      </c>
      <c r="J214" s="15">
        <v>6</v>
      </c>
      <c r="K214" s="15">
        <v>39</v>
      </c>
      <c r="L214" s="15">
        <v>22</v>
      </c>
      <c r="M214" s="15">
        <v>24</v>
      </c>
      <c r="N214" s="15">
        <v>18</v>
      </c>
      <c r="O214" s="15">
        <v>6.3</v>
      </c>
      <c r="P214" s="15">
        <v>6.8</v>
      </c>
      <c r="Q214" s="15">
        <v>370</v>
      </c>
      <c r="R214"/>
      <c r="S214"/>
      <c r="T214"/>
      <c r="U214"/>
      <c r="V214"/>
      <c r="W214"/>
      <c r="X214"/>
      <c r="Y214"/>
      <c r="Z214"/>
      <c r="AA214"/>
      <c r="AB214"/>
    </row>
    <row r="215" s="7" customFormat="1" customHeight="1" spans="1:28">
      <c r="A215" s="8" t="s">
        <v>827</v>
      </c>
      <c r="B215" s="8" t="str">
        <f>_xlfn.DISPIMG("ID_5708633BEF90424AA2589867E77195C8",1)</f>
        <v>=DISPIMG("ID_5708633BEF90424AA2589867E77195C8",1)</v>
      </c>
      <c r="C215" s="9">
        <v>4.3</v>
      </c>
      <c r="D215" s="9">
        <v>2.8</v>
      </c>
      <c r="E215" s="9">
        <v>4.2</v>
      </c>
      <c r="F215" s="9">
        <v>4.2</v>
      </c>
      <c r="G215" s="9">
        <v>2.3</v>
      </c>
      <c r="H215" s="9">
        <v>3.1</v>
      </c>
      <c r="I215" s="9">
        <v>2.3</v>
      </c>
      <c r="J215" s="9">
        <v>1.1</v>
      </c>
      <c r="K215" s="9">
        <v>17</v>
      </c>
      <c r="L215" s="9">
        <v>12</v>
      </c>
      <c r="M215" s="9">
        <v>32</v>
      </c>
      <c r="N215" s="9">
        <v>5</v>
      </c>
      <c r="O215" s="9">
        <v>2.8</v>
      </c>
      <c r="P215" s="9">
        <v>3.8</v>
      </c>
      <c r="Q215" s="9">
        <v>360</v>
      </c>
      <c r="R215"/>
      <c r="S215"/>
      <c r="T215"/>
      <c r="U215"/>
      <c r="V215"/>
      <c r="W215"/>
      <c r="X215"/>
      <c r="Y215"/>
      <c r="Z215"/>
      <c r="AA215"/>
      <c r="AB215"/>
    </row>
    <row r="216" s="7" customFormat="1" customHeight="1" spans="1:28">
      <c r="A216" s="10" t="s">
        <v>828</v>
      </c>
      <c r="B216" s="10" t="str">
        <f>_xlfn.DISPIMG("ID_6A13D31DB8254CC0BE92B4786410CDC7",1)</f>
        <v>=DISPIMG("ID_6A13D31DB8254CC0BE92B4786410CDC7",1)</v>
      </c>
      <c r="C216" s="11">
        <v>13.2</v>
      </c>
      <c r="D216" s="11">
        <v>10</v>
      </c>
      <c r="E216" s="11">
        <v>12.6</v>
      </c>
      <c r="F216" s="11">
        <v>12.7</v>
      </c>
      <c r="G216" s="11">
        <v>9</v>
      </c>
      <c r="H216" s="11">
        <v>10.9</v>
      </c>
      <c r="I216" s="11">
        <v>9</v>
      </c>
      <c r="J216" s="11">
        <v>6.6</v>
      </c>
      <c r="K216" s="11">
        <v>50</v>
      </c>
      <c r="L216" s="11">
        <v>43</v>
      </c>
      <c r="M216" s="11">
        <v>91</v>
      </c>
      <c r="N216" s="11">
        <v>22</v>
      </c>
      <c r="O216" s="11">
        <v>12.3</v>
      </c>
      <c r="P216" s="11">
        <v>12.3</v>
      </c>
      <c r="Q216" s="11">
        <v>380</v>
      </c>
      <c r="R216"/>
      <c r="S216"/>
      <c r="T216"/>
      <c r="U216"/>
      <c r="V216"/>
      <c r="W216"/>
      <c r="X216"/>
      <c r="Y216"/>
      <c r="Z216"/>
      <c r="AA216"/>
      <c r="AB216"/>
    </row>
    <row r="217" s="7" customFormat="1" customHeight="1" spans="1:28">
      <c r="A217" s="12" t="s">
        <v>829</v>
      </c>
      <c r="B217" s="12" t="str">
        <f>_xlfn.DISPIMG("ID_99EB63C3B87D4B1399581D53A999259D",1)</f>
        <v>=DISPIMG("ID_99EB63C3B87D4B1399581D53A999259D",1)</v>
      </c>
      <c r="C217" s="13">
        <v>3.4</v>
      </c>
      <c r="D217" s="13">
        <v>2.4</v>
      </c>
      <c r="E217" s="13">
        <v>3.3</v>
      </c>
      <c r="F217" s="13">
        <v>3.4</v>
      </c>
      <c r="G217" s="13">
        <v>2.4</v>
      </c>
      <c r="H217" s="13">
        <v>3</v>
      </c>
      <c r="I217" s="13">
        <v>2.4</v>
      </c>
      <c r="J217" s="13">
        <v>1.6</v>
      </c>
      <c r="K217" s="13">
        <v>12</v>
      </c>
      <c r="L217" s="13">
        <v>10</v>
      </c>
      <c r="M217" s="13">
        <v>25</v>
      </c>
      <c r="N217" s="13">
        <v>4</v>
      </c>
      <c r="O217" s="13">
        <v>2.7</v>
      </c>
      <c r="P217" s="13">
        <v>2.9</v>
      </c>
      <c r="Q217" s="13">
        <v>360</v>
      </c>
      <c r="R217"/>
      <c r="S217"/>
      <c r="T217"/>
      <c r="U217"/>
      <c r="V217"/>
      <c r="W217"/>
      <c r="X217"/>
      <c r="Y217"/>
      <c r="Z217"/>
      <c r="AA217"/>
      <c r="AB217"/>
    </row>
    <row r="218" s="7" customFormat="1" customHeight="1" spans="1:28">
      <c r="A218" s="14" t="s">
        <v>830</v>
      </c>
      <c r="B218" s="14" t="str">
        <f>_xlfn.DISPIMG("ID_6CF5D6EF25384738B996067660D9DFCC",1)</f>
        <v>=DISPIMG("ID_6CF5D6EF25384738B996067660D9DFCC",1)</v>
      </c>
      <c r="C218" s="15">
        <v>7.7</v>
      </c>
      <c r="D218" s="15">
        <v>5.6</v>
      </c>
      <c r="E218" s="15">
        <v>7.4</v>
      </c>
      <c r="F218" s="15">
        <v>7.6</v>
      </c>
      <c r="G218" s="15">
        <v>5.5</v>
      </c>
      <c r="H218" s="15">
        <v>6.7</v>
      </c>
      <c r="I218" s="15">
        <v>5.5</v>
      </c>
      <c r="J218" s="15">
        <v>3.7</v>
      </c>
      <c r="K218" s="15">
        <v>32</v>
      </c>
      <c r="L218" s="15">
        <v>24</v>
      </c>
      <c r="M218" s="15">
        <v>55</v>
      </c>
      <c r="N218" s="15">
        <v>14</v>
      </c>
      <c r="O218" s="15">
        <v>7.2</v>
      </c>
      <c r="P218" s="15">
        <v>6.9</v>
      </c>
      <c r="Q218" s="15">
        <v>370</v>
      </c>
      <c r="R218"/>
      <c r="S218"/>
      <c r="T218"/>
      <c r="U218"/>
      <c r="V218"/>
      <c r="W218"/>
      <c r="X218"/>
      <c r="Y218"/>
      <c r="Z218"/>
      <c r="AA218"/>
      <c r="AB218"/>
    </row>
    <row r="219" s="7" customFormat="1" customHeight="1" spans="1:28">
      <c r="A219" s="8" t="s">
        <v>831</v>
      </c>
      <c r="B219" s="8" t="str">
        <f>_xlfn.DISPIMG("ID_659D97CC03CD46D2AFDF5628D8FAAFF5",1)</f>
        <v>=DISPIMG("ID_659D97CC03CD46D2AFDF5628D8FAAFF5",1)</v>
      </c>
      <c r="C219" s="9">
        <v>4.7</v>
      </c>
      <c r="D219" s="9">
        <v>4</v>
      </c>
      <c r="E219" s="9">
        <v>4.5</v>
      </c>
      <c r="F219" s="9">
        <v>4.4</v>
      </c>
      <c r="G219" s="9">
        <v>2.7</v>
      </c>
      <c r="H219" s="9">
        <v>3.8</v>
      </c>
      <c r="I219" s="9">
        <v>2.4</v>
      </c>
      <c r="J219" s="9">
        <v>3</v>
      </c>
      <c r="K219" s="9">
        <v>22</v>
      </c>
      <c r="L219" s="9">
        <v>17</v>
      </c>
      <c r="M219" s="9">
        <v>18</v>
      </c>
      <c r="N219" s="9">
        <v>12</v>
      </c>
      <c r="O219" s="9">
        <v>4.4</v>
      </c>
      <c r="P219" s="9">
        <v>5.2</v>
      </c>
      <c r="Q219" s="9">
        <v>380</v>
      </c>
      <c r="R219"/>
      <c r="S219"/>
      <c r="T219"/>
      <c r="U219"/>
      <c r="V219"/>
      <c r="W219"/>
      <c r="X219"/>
      <c r="Y219"/>
      <c r="Z219"/>
      <c r="AA219"/>
      <c r="AB219"/>
    </row>
    <row r="220" s="7" customFormat="1" customHeight="1" spans="1:28">
      <c r="A220" s="10" t="s">
        <v>832</v>
      </c>
      <c r="B220" s="10" t="str">
        <f>_xlfn.DISPIMG("ID_259FA7120073477BB5FE446F97D2EB1E",1)</f>
        <v>=DISPIMG("ID_259FA7120073477BB5FE446F97D2EB1E",1)</v>
      </c>
      <c r="C220" s="11">
        <v>13.2</v>
      </c>
      <c r="D220" s="11">
        <v>11.1</v>
      </c>
      <c r="E220" s="11">
        <v>12.7</v>
      </c>
      <c r="F220" s="11">
        <v>12.6</v>
      </c>
      <c r="G220" s="11">
        <v>7.6</v>
      </c>
      <c r="H220" s="11">
        <v>11</v>
      </c>
      <c r="I220" s="11">
        <v>6.7</v>
      </c>
      <c r="J220" s="11">
        <v>8.4</v>
      </c>
      <c r="K220" s="11">
        <v>45</v>
      </c>
      <c r="L220" s="11">
        <v>36</v>
      </c>
      <c r="M220" s="11">
        <v>38</v>
      </c>
      <c r="N220" s="11">
        <v>24</v>
      </c>
      <c r="O220" s="11">
        <v>12.4</v>
      </c>
      <c r="P220" s="11">
        <v>10.8</v>
      </c>
      <c r="Q220" s="11">
        <v>360</v>
      </c>
      <c r="R220"/>
      <c r="S220"/>
      <c r="T220"/>
      <c r="U220"/>
      <c r="V220"/>
      <c r="W220"/>
      <c r="X220"/>
      <c r="Y220"/>
      <c r="Z220"/>
      <c r="AA220"/>
      <c r="AB220"/>
    </row>
    <row r="221" s="7" customFormat="1" customHeight="1" spans="1:28">
      <c r="A221" s="12" t="s">
        <v>833</v>
      </c>
      <c r="B221" s="12" t="str">
        <f>_xlfn.DISPIMG("ID_9ECF6212ACFC4A429F4DD4D445D2A09B",1)</f>
        <v>=DISPIMG("ID_9ECF6212ACFC4A429F4DD4D445D2A09B",1)</v>
      </c>
      <c r="C221" s="13">
        <v>3.6</v>
      </c>
      <c r="D221" s="13">
        <v>3</v>
      </c>
      <c r="E221" s="13">
        <v>3.5</v>
      </c>
      <c r="F221" s="13">
        <v>3.4</v>
      </c>
      <c r="G221" s="13">
        <v>2.3</v>
      </c>
      <c r="H221" s="13">
        <v>2.9</v>
      </c>
      <c r="I221" s="13">
        <v>2.1</v>
      </c>
      <c r="J221" s="13">
        <v>2.5</v>
      </c>
      <c r="K221" s="13">
        <v>14</v>
      </c>
      <c r="L221" s="13">
        <v>12</v>
      </c>
      <c r="M221" s="13">
        <v>11</v>
      </c>
      <c r="N221" s="13">
        <v>7</v>
      </c>
      <c r="O221" s="13">
        <v>2.5</v>
      </c>
      <c r="P221" s="13">
        <v>3.6</v>
      </c>
      <c r="Q221" s="13">
        <v>370</v>
      </c>
      <c r="R221"/>
      <c r="S221"/>
      <c r="T221"/>
      <c r="U221"/>
      <c r="V221"/>
      <c r="W221"/>
      <c r="X221"/>
      <c r="Y221"/>
      <c r="Z221"/>
      <c r="AA221"/>
      <c r="AB221"/>
    </row>
    <row r="222" s="7" customFormat="1" customHeight="1" spans="1:28">
      <c r="A222" s="14" t="s">
        <v>834</v>
      </c>
      <c r="B222" s="14" t="str">
        <f>_xlfn.DISPIMG("ID_72299F8935C94D399176AB61BD0621EE",1)</f>
        <v>=DISPIMG("ID_72299F8935C94D399176AB61BD0621EE",1)</v>
      </c>
      <c r="C222" s="15">
        <v>7.9</v>
      </c>
      <c r="D222" s="15">
        <v>6.7</v>
      </c>
      <c r="E222" s="15">
        <v>7.7</v>
      </c>
      <c r="F222" s="15">
        <v>7.6</v>
      </c>
      <c r="G222" s="15">
        <v>4.9</v>
      </c>
      <c r="H222" s="15">
        <v>6.2</v>
      </c>
      <c r="I222" s="15">
        <v>4.4</v>
      </c>
      <c r="J222" s="15">
        <v>5.4</v>
      </c>
      <c r="K222" s="15">
        <v>26</v>
      </c>
      <c r="L222" s="15">
        <v>23</v>
      </c>
      <c r="M222" s="15">
        <v>22</v>
      </c>
      <c r="N222" s="15">
        <v>13</v>
      </c>
      <c r="O222" s="15">
        <v>7.4</v>
      </c>
      <c r="P222" s="15">
        <v>6.7</v>
      </c>
      <c r="Q222" s="15">
        <v>370</v>
      </c>
      <c r="R222"/>
      <c r="S222"/>
      <c r="T222"/>
      <c r="U222"/>
      <c r="V222"/>
      <c r="W222"/>
      <c r="X222"/>
      <c r="Y222"/>
      <c r="Z222"/>
      <c r="AA222"/>
      <c r="AB222"/>
    </row>
    <row r="223" s="7" customFormat="1" customHeight="1" spans="1:28">
      <c r="A223" s="8" t="s">
        <v>835</v>
      </c>
      <c r="B223" s="8" t="str">
        <f>_xlfn.DISPIMG("ID_7BBE8044E1564FD99BEE3C80CE470F64",1)</f>
        <v>=DISPIMG("ID_7BBE8044E1564FD99BEE3C80CE470F64",1)</v>
      </c>
      <c r="C223" s="9">
        <v>1.1</v>
      </c>
      <c r="D223" s="9">
        <v>0.8</v>
      </c>
      <c r="E223" s="9">
        <v>1.7</v>
      </c>
      <c r="F223" s="9">
        <v>0.9</v>
      </c>
      <c r="G223" s="9">
        <v>4.2</v>
      </c>
      <c r="H223" s="9">
        <v>4.4</v>
      </c>
      <c r="I223" s="9">
        <v>4.5</v>
      </c>
      <c r="J223" s="9">
        <v>4</v>
      </c>
      <c r="K223" s="9">
        <v>12</v>
      </c>
      <c r="L223" s="9">
        <v>18</v>
      </c>
      <c r="M223" s="9">
        <v>14</v>
      </c>
      <c r="N223" s="9">
        <v>33</v>
      </c>
      <c r="O223" s="9">
        <v>0.2</v>
      </c>
      <c r="P223" s="9">
        <v>1.4</v>
      </c>
      <c r="Q223" s="9">
        <v>220</v>
      </c>
      <c r="R223"/>
      <c r="S223"/>
      <c r="T223"/>
      <c r="U223"/>
      <c r="V223"/>
      <c r="W223"/>
      <c r="X223"/>
      <c r="Y223"/>
      <c r="Z223"/>
      <c r="AA223"/>
      <c r="AB223"/>
    </row>
    <row r="224" s="7" customFormat="1" customHeight="1" spans="1:28">
      <c r="A224" s="10" t="s">
        <v>836</v>
      </c>
      <c r="B224" s="10" t="str">
        <f>_xlfn.DISPIMG("ID_77BAE0D6E1174A198D0B4EF2BE07F332",1)</f>
        <v>=DISPIMG("ID_77BAE0D6E1174A198D0B4EF2BE07F332",1)</v>
      </c>
      <c r="C224" s="11">
        <v>14.9</v>
      </c>
      <c r="D224" s="11">
        <v>11.6</v>
      </c>
      <c r="E224" s="11">
        <v>16.3</v>
      </c>
      <c r="F224" s="11">
        <v>14.3</v>
      </c>
      <c r="G224" s="11">
        <v>11.1</v>
      </c>
      <c r="H224" s="11">
        <v>13.2</v>
      </c>
      <c r="I224" s="11">
        <v>12.2</v>
      </c>
      <c r="J224" s="11">
        <v>9.8</v>
      </c>
      <c r="K224" s="11">
        <v>60</v>
      </c>
      <c r="L224" s="11">
        <v>36</v>
      </c>
      <c r="M224" s="11">
        <v>40</v>
      </c>
      <c r="N224" s="11">
        <v>34</v>
      </c>
      <c r="O224" s="11">
        <v>14.9</v>
      </c>
      <c r="P224" s="11">
        <v>12.6</v>
      </c>
      <c r="Q224" s="11">
        <v>400</v>
      </c>
      <c r="R224"/>
      <c r="S224"/>
      <c r="T224"/>
      <c r="U224"/>
      <c r="V224"/>
      <c r="W224"/>
      <c r="X224"/>
      <c r="Y224"/>
      <c r="Z224"/>
      <c r="AA224"/>
      <c r="AB224"/>
    </row>
    <row r="225" s="7" customFormat="1" customHeight="1" spans="1:28">
      <c r="A225" s="12" t="s">
        <v>837</v>
      </c>
      <c r="B225" s="12" t="str">
        <f>_xlfn.DISPIMG("ID_7B83690764704344833A9F368DFB86F9",1)</f>
        <v>=DISPIMG("ID_7B83690764704344833A9F368DFB86F9",1)</v>
      </c>
      <c r="C225" s="13">
        <v>3.9</v>
      </c>
      <c r="D225" s="13">
        <v>3</v>
      </c>
      <c r="E225" s="13">
        <v>4.2</v>
      </c>
      <c r="F225" s="13">
        <v>3.7</v>
      </c>
      <c r="G225" s="13">
        <v>2.9</v>
      </c>
      <c r="H225" s="13">
        <v>3.5</v>
      </c>
      <c r="I225" s="13">
        <v>3.2</v>
      </c>
      <c r="J225" s="13">
        <v>2.6</v>
      </c>
      <c r="K225" s="13">
        <v>21</v>
      </c>
      <c r="L225" s="13">
        <v>13</v>
      </c>
      <c r="M225" s="13">
        <v>15</v>
      </c>
      <c r="N225" s="13">
        <v>13</v>
      </c>
      <c r="O225" s="13">
        <v>3.2</v>
      </c>
      <c r="P225" s="13">
        <v>4.4</v>
      </c>
      <c r="Q225" s="13">
        <v>400</v>
      </c>
      <c r="R225"/>
      <c r="S225"/>
      <c r="T225"/>
      <c r="U225"/>
      <c r="V225"/>
      <c r="W225"/>
      <c r="X225"/>
      <c r="Y225"/>
      <c r="Z225"/>
      <c r="AA225"/>
      <c r="AB225"/>
    </row>
    <row r="226" s="7" customFormat="1" customHeight="1" spans="1:28">
      <c r="A226" s="14" t="s">
        <v>838</v>
      </c>
      <c r="B226" s="14" t="str">
        <f>_xlfn.DISPIMG("ID_4DF3EA7AFC874964BFE1ECFDD934CACF",1)</f>
        <v>=DISPIMG("ID_4DF3EA7AFC874964BFE1ECFDD934CACF",1)</v>
      </c>
      <c r="C226" s="15">
        <v>8.1</v>
      </c>
      <c r="D226" s="15">
        <v>6.2</v>
      </c>
      <c r="E226" s="15">
        <v>8.9</v>
      </c>
      <c r="F226" s="15">
        <v>7.8</v>
      </c>
      <c r="G226" s="15">
        <v>5.9</v>
      </c>
      <c r="H226" s="15">
        <v>7.2</v>
      </c>
      <c r="I226" s="15">
        <v>6.5</v>
      </c>
      <c r="J226" s="15">
        <v>5.1</v>
      </c>
      <c r="K226" s="15">
        <v>37</v>
      </c>
      <c r="L226" s="15">
        <v>22</v>
      </c>
      <c r="M226" s="15">
        <v>24</v>
      </c>
      <c r="N226" s="15">
        <v>21</v>
      </c>
      <c r="O226" s="15">
        <v>9.2</v>
      </c>
      <c r="P226" s="15">
        <v>8.1</v>
      </c>
      <c r="Q226" s="15">
        <v>400</v>
      </c>
      <c r="R226"/>
      <c r="S226"/>
      <c r="T226"/>
      <c r="U226"/>
      <c r="V226"/>
      <c r="W226"/>
      <c r="X226"/>
      <c r="Y226"/>
      <c r="Z226"/>
      <c r="AA226"/>
      <c r="AB226"/>
    </row>
    <row r="227" s="7" customFormat="1" customHeight="1" spans="1:28">
      <c r="A227" s="8" t="s">
        <v>839</v>
      </c>
      <c r="B227" s="8" t="str">
        <f>_xlfn.DISPIMG("ID_656B413469FA4285AA6C23C903270467",1)</f>
        <v>=DISPIMG("ID_656B413469FA4285AA6C23C903270467",1)</v>
      </c>
      <c r="C227" s="9">
        <v>4.6</v>
      </c>
      <c r="D227" s="9">
        <v>3.4</v>
      </c>
      <c r="E227" s="9">
        <v>4.5</v>
      </c>
      <c r="F227" s="9">
        <v>4.7</v>
      </c>
      <c r="G227" s="9">
        <v>3.1</v>
      </c>
      <c r="H227" s="9">
        <v>4.4</v>
      </c>
      <c r="I227" s="9">
        <v>2</v>
      </c>
      <c r="J227" s="9">
        <v>4</v>
      </c>
      <c r="K227" s="9">
        <v>19</v>
      </c>
      <c r="L227" s="9">
        <v>15</v>
      </c>
      <c r="M227" s="9">
        <v>16</v>
      </c>
      <c r="N227" s="9">
        <v>13</v>
      </c>
      <c r="O227" s="9">
        <v>4.3</v>
      </c>
      <c r="P227" s="9">
        <v>4.8</v>
      </c>
      <c r="Q227" s="9">
        <v>370</v>
      </c>
      <c r="R227"/>
      <c r="S227"/>
      <c r="T227"/>
      <c r="U227"/>
      <c r="V227"/>
      <c r="W227"/>
      <c r="X227"/>
      <c r="Y227"/>
      <c r="Z227"/>
      <c r="AA227"/>
      <c r="AB227"/>
    </row>
    <row r="228" s="7" customFormat="1" customHeight="1" spans="1:28">
      <c r="A228" s="10" t="s">
        <v>840</v>
      </c>
      <c r="B228" s="10" t="str">
        <f>_xlfn.DISPIMG("ID_8BE978AA0F66436B94148CC28F0BD65F",1)</f>
        <v>=DISPIMG("ID_8BE978AA0F66436B94148CC28F0BD65F",1)</v>
      </c>
      <c r="C228" s="11">
        <v>12.8</v>
      </c>
      <c r="D228" s="11">
        <v>9.5</v>
      </c>
      <c r="E228" s="11">
        <v>12.6</v>
      </c>
      <c r="F228" s="11">
        <v>13.3</v>
      </c>
      <c r="G228" s="11">
        <v>8.8</v>
      </c>
      <c r="H228" s="11">
        <v>12.4</v>
      </c>
      <c r="I228" s="11">
        <v>5.7</v>
      </c>
      <c r="J228" s="11">
        <v>11.4</v>
      </c>
      <c r="K228" s="11">
        <v>44</v>
      </c>
      <c r="L228" s="11">
        <v>35</v>
      </c>
      <c r="M228" s="11">
        <v>37</v>
      </c>
      <c r="N228" s="11">
        <v>31</v>
      </c>
      <c r="O228" s="11">
        <v>12.8</v>
      </c>
      <c r="P228" s="11">
        <v>11</v>
      </c>
      <c r="Q228" s="11">
        <v>370</v>
      </c>
      <c r="R228"/>
      <c r="S228"/>
      <c r="T228"/>
      <c r="U228"/>
      <c r="V228"/>
      <c r="W228"/>
      <c r="X228"/>
      <c r="Y228"/>
      <c r="Z228"/>
      <c r="AA228"/>
      <c r="AB228"/>
    </row>
    <row r="229" s="7" customFormat="1" customHeight="1" spans="1:28">
      <c r="A229" s="12" t="s">
        <v>841</v>
      </c>
      <c r="B229" s="12" t="str">
        <f>_xlfn.DISPIMG("ID_FD4E150758F94A7DAF445B817A9194D4",1)</f>
        <v>=DISPIMG("ID_FD4E150758F94A7DAF445B817A9194D4",1)</v>
      </c>
      <c r="C229" s="13">
        <v>3.2</v>
      </c>
      <c r="D229" s="13">
        <v>2.3</v>
      </c>
      <c r="E229" s="13">
        <v>3.1</v>
      </c>
      <c r="F229" s="13">
        <v>3.3</v>
      </c>
      <c r="G229" s="13">
        <v>2.1</v>
      </c>
      <c r="H229" s="13">
        <v>3.1</v>
      </c>
      <c r="I229" s="13">
        <v>1.4</v>
      </c>
      <c r="J229" s="13">
        <v>2.8</v>
      </c>
      <c r="K229" s="13">
        <v>15</v>
      </c>
      <c r="L229" s="13">
        <v>12</v>
      </c>
      <c r="M229" s="13">
        <v>12</v>
      </c>
      <c r="N229" s="13">
        <v>10</v>
      </c>
      <c r="O229" s="13">
        <v>2.9</v>
      </c>
      <c r="P229" s="13">
        <v>3.8</v>
      </c>
      <c r="Q229" s="13">
        <v>370</v>
      </c>
      <c r="R229"/>
      <c r="S229"/>
      <c r="T229"/>
      <c r="U229"/>
      <c r="V229"/>
      <c r="W229"/>
      <c r="X229"/>
      <c r="Y229"/>
      <c r="Z229"/>
      <c r="AA229"/>
      <c r="AB229"/>
    </row>
    <row r="230" s="7" customFormat="1" customHeight="1" spans="1:28">
      <c r="A230" s="14" t="s">
        <v>842</v>
      </c>
      <c r="B230" s="14" t="str">
        <f>_xlfn.DISPIMG("ID_7FA685463DAC40B6B5140428F642F4CC",1)</f>
        <v>=DISPIMG("ID_7FA685463DAC40B6B5140428F642F4CC",1)</v>
      </c>
      <c r="C230" s="15">
        <v>7.3</v>
      </c>
      <c r="D230" s="15">
        <v>5.4</v>
      </c>
      <c r="E230" s="15">
        <v>7.2</v>
      </c>
      <c r="F230" s="15">
        <v>7.6</v>
      </c>
      <c r="G230" s="15">
        <v>5</v>
      </c>
      <c r="H230" s="15">
        <v>7.1</v>
      </c>
      <c r="I230" s="15">
        <v>3.2</v>
      </c>
      <c r="J230" s="15">
        <v>6.5</v>
      </c>
      <c r="K230" s="15">
        <v>27</v>
      </c>
      <c r="L230" s="15">
        <v>22</v>
      </c>
      <c r="M230" s="15">
        <v>23</v>
      </c>
      <c r="N230" s="15">
        <v>19</v>
      </c>
      <c r="O230" s="15">
        <v>7.8</v>
      </c>
      <c r="P230" s="15">
        <v>6.9</v>
      </c>
      <c r="Q230" s="15">
        <v>370</v>
      </c>
      <c r="R230"/>
      <c r="S230"/>
      <c r="T230"/>
      <c r="U230"/>
      <c r="V230"/>
      <c r="W230"/>
      <c r="X230"/>
      <c r="Y230"/>
      <c r="Z230"/>
      <c r="AA230"/>
      <c r="AB230"/>
    </row>
    <row r="231" s="7" customFormat="1" customHeight="1" spans="1:28">
      <c r="A231" s="8" t="s">
        <v>843</v>
      </c>
      <c r="B231" s="8" t="str">
        <f>_xlfn.DISPIMG("ID_78BE25461BDD4DF4870CF08347D3F81F",1)</f>
        <v>=DISPIMG("ID_78BE25461BDD4DF4870CF08347D3F81F",1)</v>
      </c>
      <c r="C231" s="9">
        <v>4.9</v>
      </c>
      <c r="D231" s="9">
        <v>4.3</v>
      </c>
      <c r="E231" s="9">
        <v>4.7</v>
      </c>
      <c r="F231" s="9">
        <v>4.7</v>
      </c>
      <c r="G231" s="9">
        <v>2.9</v>
      </c>
      <c r="H231" s="9">
        <v>3.5</v>
      </c>
      <c r="I231" s="9">
        <v>2.1</v>
      </c>
      <c r="J231" s="9">
        <v>3.5</v>
      </c>
      <c r="K231" s="9">
        <v>26</v>
      </c>
      <c r="L231" s="9">
        <v>25</v>
      </c>
      <c r="M231" s="9">
        <v>14</v>
      </c>
      <c r="N231" s="9">
        <v>15</v>
      </c>
      <c r="O231" s="9">
        <v>3.4</v>
      </c>
      <c r="P231" s="9">
        <v>5</v>
      </c>
      <c r="Q231" s="9">
        <v>380</v>
      </c>
      <c r="R231"/>
      <c r="S231"/>
      <c r="T231"/>
      <c r="U231"/>
      <c r="V231"/>
      <c r="W231"/>
      <c r="X231"/>
      <c r="Y231"/>
      <c r="Z231"/>
      <c r="AA231"/>
      <c r="AB231"/>
    </row>
    <row r="232" s="7" customFormat="1" customHeight="1" spans="1:28">
      <c r="A232" s="10" t="s">
        <v>844</v>
      </c>
      <c r="B232" s="10" t="str">
        <f>_xlfn.DISPIMG("ID_41DEFFD29A774A15862F5E63A0FC4847",1)</f>
        <v>=DISPIMG("ID_41DEFFD29A774A15862F5E63A0FC4847",1)</v>
      </c>
      <c r="C232" s="11">
        <v>13.4</v>
      </c>
      <c r="D232" s="11">
        <v>11.2</v>
      </c>
      <c r="E232" s="11">
        <v>13.6</v>
      </c>
      <c r="F232" s="11">
        <v>13.1</v>
      </c>
      <c r="G232" s="11">
        <v>9.1</v>
      </c>
      <c r="H232" s="11">
        <v>11.2</v>
      </c>
      <c r="I232" s="11">
        <v>8.3</v>
      </c>
      <c r="J232" s="11">
        <v>10.5</v>
      </c>
      <c r="K232" s="11">
        <v>63</v>
      </c>
      <c r="L232" s="11">
        <v>58</v>
      </c>
      <c r="M232" s="11">
        <v>39</v>
      </c>
      <c r="N232" s="11">
        <v>42</v>
      </c>
      <c r="O232" s="11">
        <v>14.7</v>
      </c>
      <c r="P232" s="11">
        <v>13.8</v>
      </c>
      <c r="Q232" s="11">
        <v>400</v>
      </c>
      <c r="R232"/>
      <c r="S232"/>
      <c r="T232"/>
      <c r="U232"/>
      <c r="V232"/>
      <c r="W232"/>
      <c r="X232"/>
      <c r="Y232"/>
      <c r="Z232"/>
      <c r="AA232"/>
      <c r="AB232"/>
    </row>
    <row r="233" s="7" customFormat="1" customHeight="1" spans="1:28">
      <c r="A233" s="12" t="s">
        <v>845</v>
      </c>
      <c r="B233" s="12" t="str">
        <f>_xlfn.DISPIMG("ID_771564A21BFF4A33A0EDB889FF4C4E91",1)</f>
        <v>=DISPIMG("ID_771564A21BFF4A33A0EDB889FF4C4E91",1)</v>
      </c>
      <c r="C233" s="13">
        <v>3.7</v>
      </c>
      <c r="D233" s="13">
        <v>3.4</v>
      </c>
      <c r="E233" s="13">
        <v>3.6</v>
      </c>
      <c r="F233" s="13">
        <v>3.5</v>
      </c>
      <c r="G233" s="13">
        <v>2.4</v>
      </c>
      <c r="H233" s="13">
        <v>3</v>
      </c>
      <c r="I233" s="13">
        <v>2.2</v>
      </c>
      <c r="J233" s="13">
        <v>2.8</v>
      </c>
      <c r="K233" s="13">
        <v>24</v>
      </c>
      <c r="L233" s="13">
        <v>22</v>
      </c>
      <c r="M233" s="13">
        <v>16</v>
      </c>
      <c r="N233" s="13">
        <v>17</v>
      </c>
      <c r="O233" s="13">
        <v>3.5</v>
      </c>
      <c r="P233" s="13">
        <v>4.5</v>
      </c>
      <c r="Q233" s="13">
        <v>400</v>
      </c>
      <c r="R233"/>
      <c r="S233"/>
      <c r="T233"/>
      <c r="U233"/>
      <c r="V233"/>
      <c r="W233"/>
      <c r="X233"/>
      <c r="Y233"/>
      <c r="Z233"/>
      <c r="AA233"/>
      <c r="AB233"/>
    </row>
    <row r="234" s="7" customFormat="1" customHeight="1" spans="1:28">
      <c r="A234" s="14" t="s">
        <v>846</v>
      </c>
      <c r="B234" s="14" t="str">
        <f>_xlfn.DISPIMG("ID_12F20CF743B04931987B30ACE91CB650",1)</f>
        <v>=DISPIMG("ID_12F20CF743B04931987B30ACE91CB650",1)</v>
      </c>
      <c r="C234" s="15">
        <v>7.2</v>
      </c>
      <c r="D234" s="15">
        <v>5.5</v>
      </c>
      <c r="E234" s="15">
        <v>7.4</v>
      </c>
      <c r="F234" s="15">
        <v>7.2</v>
      </c>
      <c r="G234" s="15">
        <v>4.1</v>
      </c>
      <c r="H234" s="15">
        <v>5.5</v>
      </c>
      <c r="I234" s="15">
        <v>3.3</v>
      </c>
      <c r="J234" s="15">
        <v>5.1</v>
      </c>
      <c r="K234" s="15">
        <v>40</v>
      </c>
      <c r="L234" s="15">
        <v>35</v>
      </c>
      <c r="M234" s="15">
        <v>26</v>
      </c>
      <c r="N234" s="15">
        <v>26</v>
      </c>
      <c r="O234" s="15">
        <v>5.8</v>
      </c>
      <c r="P234" s="15">
        <v>7.2</v>
      </c>
      <c r="Q234" s="15">
        <v>370</v>
      </c>
      <c r="R234"/>
      <c r="S234"/>
      <c r="T234"/>
      <c r="U234"/>
      <c r="V234"/>
      <c r="W234"/>
      <c r="X234"/>
      <c r="Y234"/>
      <c r="Z234"/>
      <c r="AA234"/>
      <c r="AB234"/>
    </row>
    <row r="235" s="7" customFormat="1" customHeight="1" spans="1:28">
      <c r="A235" s="8" t="s">
        <v>847</v>
      </c>
      <c r="B235" s="8" t="str">
        <f>_xlfn.DISPIMG("ID_B05463C04ADC4F7DB7A57F7FA5AB97A8",1)</f>
        <v>=DISPIMG("ID_B05463C04ADC4F7DB7A57F7FA5AB97A8",1)</v>
      </c>
      <c r="C235" s="9">
        <v>4.6</v>
      </c>
      <c r="D235" s="9">
        <v>4.3</v>
      </c>
      <c r="E235" s="9">
        <v>5.5</v>
      </c>
      <c r="F235" s="9">
        <v>4.6</v>
      </c>
      <c r="G235" s="9">
        <v>4.2</v>
      </c>
      <c r="H235" s="9">
        <v>3.8</v>
      </c>
      <c r="I235" s="9">
        <v>4</v>
      </c>
      <c r="J235" s="9">
        <v>3.4</v>
      </c>
      <c r="K235" s="9">
        <v>25</v>
      </c>
      <c r="L235" s="9">
        <v>24</v>
      </c>
      <c r="M235" s="9">
        <v>13</v>
      </c>
      <c r="N235" s="9">
        <v>12</v>
      </c>
      <c r="O235" s="9">
        <v>6.1</v>
      </c>
      <c r="P235" s="9">
        <v>5.4</v>
      </c>
      <c r="Q235" s="9">
        <v>400</v>
      </c>
      <c r="R235"/>
      <c r="S235"/>
      <c r="T235"/>
      <c r="U235"/>
      <c r="V235"/>
      <c r="W235"/>
      <c r="X235"/>
      <c r="Y235"/>
      <c r="Z235"/>
      <c r="AA235"/>
      <c r="AB235"/>
    </row>
    <row r="236" s="7" customFormat="1" customHeight="1" spans="1:28">
      <c r="A236" s="10" t="s">
        <v>848</v>
      </c>
      <c r="B236" s="10" t="str">
        <f>_xlfn.DISPIMG("ID_B7A363D2B0BA42D0A55134DAC60957C4",1)</f>
        <v>=DISPIMG("ID_B7A363D2B0BA42D0A55134DAC60957C4",1)</v>
      </c>
      <c r="C236" s="11">
        <v>13.7</v>
      </c>
      <c r="D236" s="11">
        <v>13.1</v>
      </c>
      <c r="E236" s="11">
        <v>16.3</v>
      </c>
      <c r="F236" s="11">
        <v>13.7</v>
      </c>
      <c r="G236" s="11">
        <v>12.8</v>
      </c>
      <c r="H236" s="11">
        <v>11.6</v>
      </c>
      <c r="I236" s="11">
        <v>12.2</v>
      </c>
      <c r="J236" s="11">
        <v>10.5</v>
      </c>
      <c r="K236" s="11">
        <v>62</v>
      </c>
      <c r="L236" s="11">
        <v>60</v>
      </c>
      <c r="M236" s="11">
        <v>35</v>
      </c>
      <c r="N236" s="11">
        <v>32</v>
      </c>
      <c r="O236" s="11">
        <v>17.4</v>
      </c>
      <c r="P236" s="11">
        <v>12.9</v>
      </c>
      <c r="Q236" s="11">
        <v>400</v>
      </c>
      <c r="R236"/>
      <c r="S236"/>
      <c r="T236"/>
      <c r="U236"/>
      <c r="V236"/>
      <c r="W236"/>
      <c r="X236"/>
      <c r="Y236"/>
      <c r="Z236"/>
      <c r="AA236"/>
      <c r="AB236"/>
    </row>
    <row r="237" s="7" customFormat="1" customHeight="1" spans="1:28">
      <c r="A237" s="12" t="s">
        <v>849</v>
      </c>
      <c r="B237" s="12" t="str">
        <f>_xlfn.DISPIMG("ID_506A9625212B4503BBB739BFF0B74C55",1)</f>
        <v>=DISPIMG("ID_506A9625212B4503BBB739BFF0B74C55",1)</v>
      </c>
      <c r="C237" s="13">
        <v>3.6</v>
      </c>
      <c r="D237" s="13">
        <v>3.4</v>
      </c>
      <c r="E237" s="13">
        <v>4.2</v>
      </c>
      <c r="F237" s="13">
        <v>3.6</v>
      </c>
      <c r="G237" s="13">
        <v>3.4</v>
      </c>
      <c r="H237" s="13">
        <v>3</v>
      </c>
      <c r="I237" s="13">
        <v>3.2</v>
      </c>
      <c r="J237" s="13">
        <v>2.7</v>
      </c>
      <c r="K237" s="13">
        <v>19</v>
      </c>
      <c r="L237" s="13">
        <v>19</v>
      </c>
      <c r="M237" s="13">
        <v>10</v>
      </c>
      <c r="N237" s="13">
        <v>9</v>
      </c>
      <c r="O237" s="13">
        <v>4.1</v>
      </c>
      <c r="P237" s="13">
        <v>4.2</v>
      </c>
      <c r="Q237" s="13">
        <v>400</v>
      </c>
      <c r="R237"/>
      <c r="S237"/>
      <c r="T237"/>
      <c r="U237"/>
      <c r="V237"/>
      <c r="W237"/>
      <c r="X237"/>
      <c r="Y237"/>
      <c r="Z237"/>
      <c r="AA237"/>
      <c r="AB237"/>
    </row>
    <row r="238" s="7" customFormat="1" customHeight="1" spans="1:28">
      <c r="A238" s="14" t="s">
        <v>850</v>
      </c>
      <c r="B238" s="14" t="str">
        <f>_xlfn.DISPIMG("ID_5DBCA0E32A43438E941AECFD67E147EE",1)</f>
        <v>=DISPIMG("ID_5DBCA0E32A43438E941AECFD67E147EE",1)</v>
      </c>
      <c r="C238" s="15">
        <v>7.4</v>
      </c>
      <c r="D238" s="15">
        <v>7.1</v>
      </c>
      <c r="E238" s="15">
        <v>8.9</v>
      </c>
      <c r="F238" s="15">
        <v>7.4</v>
      </c>
      <c r="G238" s="15">
        <v>6.9</v>
      </c>
      <c r="H238" s="15">
        <v>6.2</v>
      </c>
      <c r="I238" s="15">
        <v>6.5</v>
      </c>
      <c r="J238" s="15">
        <v>5.5</v>
      </c>
      <c r="K238" s="15">
        <v>37</v>
      </c>
      <c r="L238" s="15">
        <v>35</v>
      </c>
      <c r="M238" s="15">
        <v>20</v>
      </c>
      <c r="N238" s="15">
        <v>18</v>
      </c>
      <c r="O238" s="15">
        <v>10.7</v>
      </c>
      <c r="P238" s="15">
        <v>8</v>
      </c>
      <c r="Q238" s="15">
        <v>400</v>
      </c>
      <c r="R238"/>
      <c r="S238"/>
      <c r="T238"/>
      <c r="U238"/>
      <c r="V238"/>
      <c r="W238"/>
      <c r="X238"/>
      <c r="Y238"/>
      <c r="Z238"/>
      <c r="AA238"/>
      <c r="AB238"/>
    </row>
    <row r="239" s="7" customFormat="1" customHeight="1" spans="1:28">
      <c r="A239" s="8" t="s">
        <v>851</v>
      </c>
      <c r="B239" s="8" t="str">
        <f>_xlfn.DISPIMG("ID_71A3F8E1C33240429CFADC969E7D1438",1)</f>
        <v>=DISPIMG("ID_71A3F8E1C33240429CFADC969E7D1438",1)</v>
      </c>
      <c r="C239" s="9">
        <v>5</v>
      </c>
      <c r="D239" s="9">
        <v>3.2</v>
      </c>
      <c r="E239" s="9">
        <v>4.8</v>
      </c>
      <c r="F239" s="9">
        <v>3.5</v>
      </c>
      <c r="G239" s="9">
        <v>4.7</v>
      </c>
      <c r="H239" s="9">
        <v>3.3</v>
      </c>
      <c r="I239" s="9">
        <v>3.3</v>
      </c>
      <c r="J239" s="9">
        <v>4.8</v>
      </c>
      <c r="K239" s="9">
        <v>24</v>
      </c>
      <c r="L239" s="9">
        <v>12</v>
      </c>
      <c r="M239" s="9">
        <v>17</v>
      </c>
      <c r="N239" s="9">
        <v>15</v>
      </c>
      <c r="O239" s="9">
        <v>3.9</v>
      </c>
      <c r="P239" s="9">
        <v>5.6</v>
      </c>
      <c r="Q239" s="9">
        <v>380</v>
      </c>
      <c r="R239"/>
      <c r="S239"/>
      <c r="T239"/>
      <c r="U239"/>
      <c r="V239"/>
      <c r="W239"/>
      <c r="X239"/>
      <c r="Y239"/>
      <c r="Z239"/>
      <c r="AA239"/>
      <c r="AB239"/>
    </row>
    <row r="240" s="7" customFormat="1" customHeight="1" spans="1:28">
      <c r="A240" s="10" t="s">
        <v>852</v>
      </c>
      <c r="B240" s="10" t="str">
        <f>_xlfn.DISPIMG("ID_1F9AABF1640645D79DFC63C4550921B4",1)</f>
        <v>=DISPIMG("ID_1F9AABF1640645D79DFC63C4550921B4",1)</v>
      </c>
      <c r="C240" s="11">
        <v>14.1</v>
      </c>
      <c r="D240" s="11">
        <v>9.4</v>
      </c>
      <c r="E240" s="11">
        <v>13.7</v>
      </c>
      <c r="F240" s="11">
        <v>13.3</v>
      </c>
      <c r="G240" s="11">
        <v>13.1</v>
      </c>
      <c r="H240" s="11">
        <v>10.7</v>
      </c>
      <c r="I240" s="11">
        <v>10.7</v>
      </c>
      <c r="J240" s="11">
        <v>13.3</v>
      </c>
      <c r="K240" s="11">
        <v>67</v>
      </c>
      <c r="L240" s="11">
        <v>41</v>
      </c>
      <c r="M240" s="11">
        <v>61</v>
      </c>
      <c r="N240" s="11">
        <v>50</v>
      </c>
      <c r="O240" s="11">
        <v>15.5</v>
      </c>
      <c r="P240" s="11">
        <v>15.3</v>
      </c>
      <c r="Q240" s="11">
        <v>420</v>
      </c>
      <c r="R240"/>
      <c r="S240"/>
      <c r="T240"/>
      <c r="U240"/>
      <c r="V240"/>
      <c r="W240"/>
      <c r="X240"/>
      <c r="Y240"/>
      <c r="Z240"/>
      <c r="AA240"/>
      <c r="AB240"/>
    </row>
    <row r="241" s="7" customFormat="1" customHeight="1" spans="1:28">
      <c r="A241" s="12" t="s">
        <v>853</v>
      </c>
      <c r="B241" s="12" t="str">
        <f>_xlfn.DISPIMG("ID_BDF97C99F9A54B20A73BD0C8148468C8",1)</f>
        <v>=DISPIMG("ID_BDF97C99F9A54B20A73BD0C8148468C8",1)</v>
      </c>
      <c r="C241" s="13">
        <v>3.1</v>
      </c>
      <c r="D241" s="13">
        <v>2.2</v>
      </c>
      <c r="E241" s="13">
        <v>3</v>
      </c>
      <c r="F241" s="13">
        <v>2.9</v>
      </c>
      <c r="G241" s="13">
        <v>2.7</v>
      </c>
      <c r="H241" s="13">
        <v>1.5</v>
      </c>
      <c r="I241" s="13">
        <v>1.5</v>
      </c>
      <c r="J241" s="13">
        <v>2.9</v>
      </c>
      <c r="K241" s="13">
        <v>16</v>
      </c>
      <c r="L241" s="13">
        <v>7</v>
      </c>
      <c r="M241" s="13">
        <v>11</v>
      </c>
      <c r="N241" s="13">
        <v>10</v>
      </c>
      <c r="O241" s="13">
        <v>1.8</v>
      </c>
      <c r="P241" s="13">
        <v>3</v>
      </c>
      <c r="Q241" s="13">
        <v>360</v>
      </c>
      <c r="R241"/>
      <c r="S241"/>
      <c r="T241"/>
      <c r="U241"/>
      <c r="V241"/>
      <c r="W241"/>
      <c r="X241"/>
      <c r="Y241"/>
      <c r="Z241"/>
      <c r="AA241"/>
      <c r="AB241"/>
    </row>
    <row r="242" s="7" customFormat="1" customHeight="1" spans="1:28">
      <c r="A242" s="14" t="s">
        <v>854</v>
      </c>
      <c r="B242" s="14" t="str">
        <f>_xlfn.DISPIMG("ID_2165BC9A7781436E97A316C6356BE103",1)</f>
        <v>=DISPIMG("ID_2165BC9A7781436E97A316C6356BE103",1)</v>
      </c>
      <c r="C242" s="15">
        <v>7.6</v>
      </c>
      <c r="D242" s="15">
        <v>5.5</v>
      </c>
      <c r="E242" s="15">
        <v>7.5</v>
      </c>
      <c r="F242" s="15">
        <v>7.3</v>
      </c>
      <c r="G242" s="15">
        <v>7.3</v>
      </c>
      <c r="H242" s="15">
        <v>4.7</v>
      </c>
      <c r="I242" s="15">
        <v>4.7</v>
      </c>
      <c r="J242" s="15">
        <v>7.4</v>
      </c>
      <c r="K242" s="15">
        <v>38</v>
      </c>
      <c r="L242" s="15">
        <v>21</v>
      </c>
      <c r="M242" s="15">
        <v>27</v>
      </c>
      <c r="N242" s="15">
        <v>25</v>
      </c>
      <c r="O242" s="15">
        <v>6.3</v>
      </c>
      <c r="P242" s="15">
        <v>7</v>
      </c>
      <c r="Q242" s="15">
        <v>370</v>
      </c>
      <c r="R242"/>
      <c r="S242"/>
      <c r="T242"/>
      <c r="U242"/>
      <c r="V242"/>
      <c r="W242"/>
      <c r="X242"/>
      <c r="Y242"/>
      <c r="Z242"/>
      <c r="AA242"/>
      <c r="AB242"/>
    </row>
    <row r="243" s="7" customFormat="1" customHeight="1" spans="1:28">
      <c r="A243" s="8" t="s">
        <v>855</v>
      </c>
      <c r="B243" s="8" t="str">
        <f>_xlfn.DISPIMG("ID_F73159957ADB4DFCAB63331DB17F8B44",1)</f>
        <v>=DISPIMG("ID_F73159957ADB4DFCAB63331DB17F8B44",1)</v>
      </c>
      <c r="C243" s="9">
        <v>4.3</v>
      </c>
      <c r="D243" s="9">
        <v>3.9</v>
      </c>
      <c r="E243" s="9">
        <v>4.2</v>
      </c>
      <c r="F243" s="9">
        <v>4.3</v>
      </c>
      <c r="G243" s="9">
        <v>3.5</v>
      </c>
      <c r="H243" s="9">
        <v>3.7</v>
      </c>
      <c r="I243" s="9">
        <v>2.5</v>
      </c>
      <c r="J243" s="9">
        <v>3.7</v>
      </c>
      <c r="K243" s="9">
        <v>30</v>
      </c>
      <c r="L243" s="9">
        <v>23</v>
      </c>
      <c r="M243" s="9">
        <v>25</v>
      </c>
      <c r="N243" s="9">
        <v>18</v>
      </c>
      <c r="O243" s="9">
        <v>5.4</v>
      </c>
      <c r="P243" s="9">
        <v>5.9</v>
      </c>
      <c r="Q243" s="9">
        <v>400</v>
      </c>
      <c r="R243"/>
      <c r="S243"/>
      <c r="T243"/>
      <c r="U243"/>
      <c r="V243"/>
      <c r="W243"/>
      <c r="X243"/>
      <c r="Y243"/>
      <c r="Z243"/>
      <c r="AA243"/>
      <c r="AB243"/>
    </row>
    <row r="244" s="7" customFormat="1" customHeight="1" spans="1:28">
      <c r="A244" s="10" t="s">
        <v>856</v>
      </c>
      <c r="B244" s="10" t="str">
        <f>_xlfn.DISPIMG("ID_72B09FBD05CF4ED087F578CE952E244E",1)</f>
        <v>=DISPIMG("ID_72B09FBD05CF4ED087F578CE952E244E",1)</v>
      </c>
      <c r="C244" s="11">
        <v>12.5</v>
      </c>
      <c r="D244" s="11">
        <v>11.6</v>
      </c>
      <c r="E244" s="11">
        <v>12.3</v>
      </c>
      <c r="F244" s="11">
        <v>12.5</v>
      </c>
      <c r="G244" s="11">
        <v>10.6</v>
      </c>
      <c r="H244" s="11">
        <v>11.1</v>
      </c>
      <c r="I244" s="11">
        <v>7.7</v>
      </c>
      <c r="J244" s="11">
        <v>11.1</v>
      </c>
      <c r="K244" s="11">
        <v>63</v>
      </c>
      <c r="L244" s="11">
        <v>46</v>
      </c>
      <c r="M244" s="11">
        <v>51</v>
      </c>
      <c r="N244" s="11">
        <v>35</v>
      </c>
      <c r="O244" s="11">
        <v>16.5</v>
      </c>
      <c r="P244" s="11">
        <v>13.2</v>
      </c>
      <c r="Q244" s="11">
        <v>400</v>
      </c>
      <c r="R244"/>
      <c r="S244"/>
      <c r="T244"/>
      <c r="U244"/>
      <c r="V244"/>
      <c r="W244"/>
      <c r="X244"/>
      <c r="Y244"/>
      <c r="Z244"/>
      <c r="AA244"/>
      <c r="AB244"/>
    </row>
    <row r="245" s="7" customFormat="1" customHeight="1" spans="1:28">
      <c r="A245" s="12" t="s">
        <v>857</v>
      </c>
      <c r="B245" s="12" t="str">
        <f>_xlfn.DISPIMG("ID_1629EE4B186B48FB8B05BBF1A841464B",1)</f>
        <v>=DISPIMG("ID_1629EE4B186B48FB8B05BBF1A841464B",1)</v>
      </c>
      <c r="C245" s="13">
        <v>3.4</v>
      </c>
      <c r="D245" s="13">
        <v>3.1</v>
      </c>
      <c r="E245" s="13">
        <v>3.4</v>
      </c>
      <c r="F245" s="13">
        <v>3.4</v>
      </c>
      <c r="G245" s="13">
        <v>2.8</v>
      </c>
      <c r="H245" s="13">
        <v>3</v>
      </c>
      <c r="I245" s="13">
        <v>2</v>
      </c>
      <c r="J245" s="13">
        <v>3</v>
      </c>
      <c r="K245" s="13">
        <v>19</v>
      </c>
      <c r="L245" s="13">
        <v>13</v>
      </c>
      <c r="M245" s="13">
        <v>14</v>
      </c>
      <c r="N245" s="13">
        <v>10</v>
      </c>
      <c r="O245" s="13">
        <v>3.9</v>
      </c>
      <c r="P245" s="13">
        <v>4.1</v>
      </c>
      <c r="Q245" s="13">
        <v>380</v>
      </c>
      <c r="R245"/>
      <c r="S245"/>
      <c r="T245"/>
      <c r="U245"/>
      <c r="V245"/>
      <c r="W245"/>
      <c r="X245"/>
      <c r="Y245"/>
      <c r="Z245"/>
      <c r="AA245"/>
      <c r="AB245"/>
    </row>
    <row r="246" s="7" customFormat="1" customHeight="1" spans="1:28">
      <c r="A246" s="14" t="s">
        <v>858</v>
      </c>
      <c r="B246" s="14" t="str">
        <f>_xlfn.DISPIMG("ID_4A184BEACA104B3DB2730AB218C55067",1)</f>
        <v>=DISPIMG("ID_4A184BEACA104B3DB2730AB218C55067",1)</v>
      </c>
      <c r="C246" s="15">
        <v>7.4</v>
      </c>
      <c r="D246" s="15">
        <v>6.8</v>
      </c>
      <c r="E246" s="15">
        <v>7.4</v>
      </c>
      <c r="F246" s="15">
        <v>7.5</v>
      </c>
      <c r="G246" s="15">
        <v>6.1</v>
      </c>
      <c r="H246" s="15">
        <v>6.5</v>
      </c>
      <c r="I246" s="15">
        <v>4.3</v>
      </c>
      <c r="J246" s="15">
        <v>6.5</v>
      </c>
      <c r="K246" s="15">
        <v>41</v>
      </c>
      <c r="L246" s="15">
        <v>29</v>
      </c>
      <c r="M246" s="15">
        <v>32</v>
      </c>
      <c r="N246" s="15">
        <v>24</v>
      </c>
      <c r="O246" s="15">
        <v>9.9</v>
      </c>
      <c r="P246" s="15">
        <v>7.7</v>
      </c>
      <c r="Q246" s="15">
        <v>380</v>
      </c>
      <c r="R246"/>
      <c r="S246"/>
      <c r="T246"/>
      <c r="U246"/>
      <c r="V246"/>
      <c r="W246"/>
      <c r="X246"/>
      <c r="Y246"/>
      <c r="Z246"/>
      <c r="AA246"/>
      <c r="AB246"/>
    </row>
    <row r="247" s="7" customFormat="1" customHeight="1" spans="1:28">
      <c r="A247" s="8" t="s">
        <v>859</v>
      </c>
      <c r="B247" s="8" t="str">
        <f>_xlfn.DISPIMG("ID_09D27181AFE34829A565EF8FBB834EA1",1)</f>
        <v>=DISPIMG("ID_09D27181AFE34829A565EF8FBB834EA1",1)</v>
      </c>
      <c r="C247" s="9">
        <v>4.9</v>
      </c>
      <c r="D247" s="9">
        <v>4.7</v>
      </c>
      <c r="E247" s="9">
        <v>4.7</v>
      </c>
      <c r="F247" s="9">
        <v>4.5</v>
      </c>
      <c r="G247" s="9">
        <v>4</v>
      </c>
      <c r="H247" s="9">
        <v>4.4</v>
      </c>
      <c r="I247" s="9">
        <v>4.2</v>
      </c>
      <c r="J247" s="9">
        <v>4.2</v>
      </c>
      <c r="K247" s="9">
        <v>27</v>
      </c>
      <c r="L247" s="9">
        <v>22</v>
      </c>
      <c r="M247" s="9">
        <v>28</v>
      </c>
      <c r="N247" s="9">
        <v>14</v>
      </c>
      <c r="O247" s="9">
        <v>6.1</v>
      </c>
      <c r="P247" s="9">
        <v>6.6</v>
      </c>
      <c r="Q247" s="9">
        <v>430</v>
      </c>
      <c r="R247"/>
      <c r="S247"/>
      <c r="T247"/>
      <c r="U247"/>
      <c r="V247"/>
      <c r="W247"/>
      <c r="X247"/>
      <c r="Y247"/>
      <c r="Z247"/>
      <c r="AA247"/>
      <c r="AB247"/>
    </row>
    <row r="248" s="7" customFormat="1" customHeight="1" spans="1:28">
      <c r="A248" s="10" t="s">
        <v>860</v>
      </c>
      <c r="B248" s="10" t="str">
        <f>_xlfn.DISPIMG("ID_E34A5BB0F9E7403B9077CEB1044FA66D",1)</f>
        <v>=DISPIMG("ID_E34A5BB0F9E7403B9077CEB1044FA66D",1)</v>
      </c>
      <c r="C248" s="11">
        <v>13</v>
      </c>
      <c r="D248" s="11">
        <v>12.7</v>
      </c>
      <c r="E248" s="11">
        <v>12.7</v>
      </c>
      <c r="F248" s="11">
        <v>12.3</v>
      </c>
      <c r="G248" s="11">
        <v>10</v>
      </c>
      <c r="H248" s="11">
        <v>11.7</v>
      </c>
      <c r="I248" s="11">
        <v>10.7</v>
      </c>
      <c r="J248" s="11">
        <v>10.7</v>
      </c>
      <c r="K248" s="11">
        <v>59</v>
      </c>
      <c r="L248" s="11">
        <v>40</v>
      </c>
      <c r="M248" s="11">
        <v>60</v>
      </c>
      <c r="N248" s="11">
        <v>27</v>
      </c>
      <c r="O248" s="11">
        <v>15.5</v>
      </c>
      <c r="P248" s="11">
        <v>13.1</v>
      </c>
      <c r="Q248" s="11">
        <v>400</v>
      </c>
      <c r="R248"/>
      <c r="S248"/>
      <c r="T248"/>
      <c r="U248"/>
      <c r="V248"/>
      <c r="W248"/>
      <c r="X248"/>
      <c r="Y248"/>
      <c r="Z248"/>
      <c r="AA248"/>
      <c r="AB248"/>
    </row>
    <row r="249" s="7" customFormat="1" customHeight="1" spans="1:28">
      <c r="A249" s="12" t="s">
        <v>861</v>
      </c>
      <c r="B249" s="12" t="str">
        <f>_xlfn.DISPIMG("ID_3552BC7EB34C47A99F4FE70EE9FA8569",1)</f>
        <v>=DISPIMG("ID_3552BC7EB34C47A99F4FE70EE9FA8569",1)</v>
      </c>
      <c r="C249" s="13">
        <v>3.3</v>
      </c>
      <c r="D249" s="13">
        <v>3.4</v>
      </c>
      <c r="E249" s="13">
        <v>3.2</v>
      </c>
      <c r="F249" s="13">
        <v>3.1</v>
      </c>
      <c r="G249" s="13">
        <v>2.9</v>
      </c>
      <c r="H249" s="13">
        <v>3.3</v>
      </c>
      <c r="I249" s="13">
        <v>3</v>
      </c>
      <c r="J249" s="13">
        <v>3</v>
      </c>
      <c r="K249" s="13">
        <v>21</v>
      </c>
      <c r="L249" s="13">
        <v>16</v>
      </c>
      <c r="M249" s="13">
        <v>22</v>
      </c>
      <c r="N249" s="13">
        <v>11</v>
      </c>
      <c r="O249" s="13">
        <v>4</v>
      </c>
      <c r="P249" s="13">
        <v>4.8</v>
      </c>
      <c r="Q249" s="13">
        <v>410</v>
      </c>
      <c r="R249"/>
      <c r="S249"/>
      <c r="T249"/>
      <c r="U249"/>
      <c r="V249"/>
      <c r="W249"/>
      <c r="X249"/>
      <c r="Y249"/>
      <c r="Z249"/>
      <c r="AA249"/>
      <c r="AB249"/>
    </row>
    <row r="250" s="7" customFormat="1" customHeight="1" spans="1:28">
      <c r="A250" s="14" t="s">
        <v>862</v>
      </c>
      <c r="B250" s="14" t="str">
        <f>_xlfn.DISPIMG("ID_29DD90F219764EA39894D9C7451EDC0F",1)</f>
        <v>=DISPIMG("ID_29DD90F219764EA39894D9C7451EDC0F",1)</v>
      </c>
      <c r="C250" s="15">
        <v>7.2</v>
      </c>
      <c r="D250" s="15">
        <v>7.2</v>
      </c>
      <c r="E250" s="15">
        <v>7.2</v>
      </c>
      <c r="F250" s="15">
        <v>6.6</v>
      </c>
      <c r="G250" s="15">
        <v>5.2</v>
      </c>
      <c r="H250" s="15">
        <v>6.4</v>
      </c>
      <c r="I250" s="15">
        <v>5.6</v>
      </c>
      <c r="J250" s="15">
        <v>5.6</v>
      </c>
      <c r="K250" s="15">
        <v>34</v>
      </c>
      <c r="L250" s="15">
        <v>24</v>
      </c>
      <c r="M250" s="15">
        <v>37</v>
      </c>
      <c r="N250" s="15">
        <v>15</v>
      </c>
      <c r="O250" s="15">
        <v>8</v>
      </c>
      <c r="P250" s="15">
        <v>6.8</v>
      </c>
      <c r="Q250" s="15">
        <v>370</v>
      </c>
      <c r="R250"/>
      <c r="S250"/>
      <c r="T250"/>
      <c r="U250"/>
      <c r="V250"/>
      <c r="W250"/>
      <c r="X250"/>
      <c r="Y250"/>
      <c r="Z250"/>
      <c r="AA250"/>
      <c r="AB250"/>
    </row>
    <row r="251" s="7" customFormat="1" customHeight="1" spans="1:28">
      <c r="A251" s="8" t="s">
        <v>863</v>
      </c>
      <c r="B251" s="8" t="str">
        <f>_xlfn.DISPIMG("ID_5DE77AD2C3F24562B5A6C2AD795FCD7B",1)</f>
        <v>=DISPIMG("ID_5DE77AD2C3F24562B5A6C2AD795FCD7B",1)</v>
      </c>
      <c r="C251" s="9">
        <v>4.7</v>
      </c>
      <c r="D251" s="9">
        <v>3.8</v>
      </c>
      <c r="E251" s="9">
        <v>4.3</v>
      </c>
      <c r="F251" s="9">
        <v>4.2</v>
      </c>
      <c r="G251" s="9">
        <v>3.2</v>
      </c>
      <c r="H251" s="9">
        <v>4.5</v>
      </c>
      <c r="I251" s="9">
        <v>3</v>
      </c>
      <c r="J251" s="9">
        <v>3.6</v>
      </c>
      <c r="K251" s="9">
        <v>27</v>
      </c>
      <c r="L251" s="9">
        <v>19</v>
      </c>
      <c r="M251" s="9">
        <v>19</v>
      </c>
      <c r="N251" s="9">
        <v>19</v>
      </c>
      <c r="O251" s="9">
        <v>3.9</v>
      </c>
      <c r="P251" s="9">
        <v>5.6</v>
      </c>
      <c r="Q251" s="9">
        <v>400</v>
      </c>
      <c r="R251"/>
      <c r="S251"/>
      <c r="T251"/>
      <c r="U251"/>
      <c r="V251"/>
      <c r="W251"/>
      <c r="X251"/>
      <c r="Y251"/>
      <c r="Z251"/>
      <c r="AA251"/>
      <c r="AB251"/>
    </row>
    <row r="252" s="7" customFormat="1" customHeight="1" spans="1:28">
      <c r="A252" s="10" t="s">
        <v>864</v>
      </c>
      <c r="B252" s="10" t="str">
        <f>_xlfn.DISPIMG("ID_73527D147F5C400D900B40E625E1010B",1)</f>
        <v>=DISPIMG("ID_73527D147F5C400D900B40E625E1010B",1)</v>
      </c>
      <c r="C252" s="11">
        <v>13.8</v>
      </c>
      <c r="D252" s="11">
        <v>11.7</v>
      </c>
      <c r="E252" s="11">
        <v>12.7</v>
      </c>
      <c r="F252" s="11">
        <v>12.6</v>
      </c>
      <c r="G252" s="11">
        <v>10.5</v>
      </c>
      <c r="H252" s="11">
        <v>13.7</v>
      </c>
      <c r="I252" s="11">
        <v>9.8</v>
      </c>
      <c r="J252" s="11">
        <v>11.5</v>
      </c>
      <c r="K252" s="11">
        <v>58</v>
      </c>
      <c r="L252" s="11">
        <v>42</v>
      </c>
      <c r="M252" s="11">
        <v>39</v>
      </c>
      <c r="N252" s="11">
        <v>39</v>
      </c>
      <c r="O252" s="11">
        <v>14</v>
      </c>
      <c r="P252" s="11">
        <v>13.9</v>
      </c>
      <c r="Q252" s="11">
        <v>410</v>
      </c>
      <c r="R252"/>
      <c r="S252"/>
      <c r="T252"/>
      <c r="U252"/>
      <c r="V252"/>
      <c r="W252"/>
      <c r="X252"/>
      <c r="Y252"/>
      <c r="Z252"/>
      <c r="AA252"/>
      <c r="AB252"/>
    </row>
    <row r="253" s="7" customFormat="1" customHeight="1" spans="1:28">
      <c r="A253" s="12" t="s">
        <v>865</v>
      </c>
      <c r="B253" s="12" t="str">
        <f>_xlfn.DISPIMG("ID_322496B877AC47C6AD6682F1EB63CFF4",1)</f>
        <v>=DISPIMG("ID_322496B877AC47C6AD6682F1EB63CFF4",1)</v>
      </c>
      <c r="C253" s="13">
        <v>3.4</v>
      </c>
      <c r="D253" s="13">
        <v>2.9</v>
      </c>
      <c r="E253" s="13">
        <v>3.3</v>
      </c>
      <c r="F253" s="13">
        <v>3.1</v>
      </c>
      <c r="G253" s="13">
        <v>2.5</v>
      </c>
      <c r="H253" s="13">
        <v>3.4</v>
      </c>
      <c r="I253" s="13">
        <v>2.3</v>
      </c>
      <c r="J253" s="13">
        <v>2.8</v>
      </c>
      <c r="K253" s="13">
        <v>18</v>
      </c>
      <c r="L253" s="13">
        <v>12</v>
      </c>
      <c r="M253" s="13">
        <v>11</v>
      </c>
      <c r="N253" s="13">
        <v>11</v>
      </c>
      <c r="O253" s="13">
        <v>3.3</v>
      </c>
      <c r="P253" s="13">
        <v>4</v>
      </c>
      <c r="Q253" s="13">
        <v>400</v>
      </c>
      <c r="R253"/>
      <c r="S253"/>
      <c r="T253"/>
      <c r="U253"/>
      <c r="V253"/>
      <c r="W253"/>
      <c r="X253"/>
      <c r="Y253"/>
      <c r="Z253"/>
      <c r="AA253"/>
      <c r="AB253"/>
    </row>
    <row r="254" s="7" customFormat="1" customHeight="1" spans="1:28">
      <c r="A254" s="14" t="s">
        <v>866</v>
      </c>
      <c r="B254" s="14" t="str">
        <f>_xlfn.DISPIMG("ID_C9A03C6234B44680B21CDBADEA54CE7F",1)</f>
        <v>=DISPIMG("ID_C9A03C6234B44680B21CDBADEA54CE7F",1)</v>
      </c>
      <c r="C254" s="15">
        <v>8.1</v>
      </c>
      <c r="D254" s="15">
        <v>6.7</v>
      </c>
      <c r="E254" s="15">
        <v>7.6</v>
      </c>
      <c r="F254" s="15">
        <v>7.4</v>
      </c>
      <c r="G254" s="15">
        <v>6.2</v>
      </c>
      <c r="H254" s="15">
        <v>8.3</v>
      </c>
      <c r="I254" s="15">
        <v>5.8</v>
      </c>
      <c r="J254" s="15">
        <v>6.9</v>
      </c>
      <c r="K254" s="15">
        <v>38</v>
      </c>
      <c r="L254" s="15">
        <v>27</v>
      </c>
      <c r="M254" s="15">
        <v>26</v>
      </c>
      <c r="N254" s="15">
        <v>26</v>
      </c>
      <c r="O254" s="15">
        <v>8.2</v>
      </c>
      <c r="P254" s="15">
        <v>8.5</v>
      </c>
      <c r="Q254" s="15">
        <v>400</v>
      </c>
      <c r="R254"/>
      <c r="S254"/>
      <c r="T254"/>
      <c r="U254"/>
      <c r="V254"/>
      <c r="W254"/>
      <c r="X254"/>
      <c r="Y254"/>
      <c r="Z254"/>
      <c r="AA254"/>
      <c r="AB254"/>
    </row>
    <row r="255" s="7" customFormat="1" customHeight="1" spans="1:28">
      <c r="A255" s="8" t="s">
        <v>867</v>
      </c>
      <c r="B255" s="8" t="str">
        <f>_xlfn.DISPIMG("ID_0B2D8C5C7F3548C89EA8E92260873D9E",1)</f>
        <v>=DISPIMG("ID_0B2D8C5C7F3548C89EA8E92260873D9E",1)</v>
      </c>
      <c r="C255" s="9">
        <v>4.6</v>
      </c>
      <c r="D255" s="9">
        <v>3.8</v>
      </c>
      <c r="E255" s="9">
        <v>4.6</v>
      </c>
      <c r="F255" s="9">
        <v>4.6</v>
      </c>
      <c r="G255" s="9">
        <v>3.5</v>
      </c>
      <c r="H255" s="9">
        <v>4.1</v>
      </c>
      <c r="I255" s="9">
        <v>4.1</v>
      </c>
      <c r="J255" s="9">
        <v>2.6</v>
      </c>
      <c r="K255" s="9">
        <v>28</v>
      </c>
      <c r="L255" s="9">
        <v>18</v>
      </c>
      <c r="M255" s="9">
        <v>18</v>
      </c>
      <c r="N255" s="9">
        <v>16</v>
      </c>
      <c r="O255" s="9">
        <v>4.8</v>
      </c>
      <c r="P255" s="9">
        <v>5.8</v>
      </c>
      <c r="Q255" s="9">
        <v>410</v>
      </c>
      <c r="R255"/>
      <c r="S255"/>
      <c r="T255"/>
      <c r="U255"/>
      <c r="V255"/>
      <c r="W255"/>
      <c r="X255"/>
      <c r="Y255"/>
      <c r="Z255"/>
      <c r="AA255"/>
      <c r="AB255"/>
    </row>
    <row r="256" s="7" customFormat="1" customHeight="1" spans="1:28">
      <c r="A256" s="10" t="s">
        <v>868</v>
      </c>
      <c r="B256" s="10" t="str">
        <f>_xlfn.DISPIMG("ID_6B7BA9C2463B4F5EA98EA04A7BB91398",1)</f>
        <v>=DISPIMG("ID_6B7BA9C2463B4F5EA98EA04A7BB91398",1)</v>
      </c>
      <c r="C256" s="11">
        <v>14</v>
      </c>
      <c r="D256" s="11">
        <v>12.2</v>
      </c>
      <c r="E256" s="11">
        <v>14.1</v>
      </c>
      <c r="F256" s="11">
        <v>14.1</v>
      </c>
      <c r="G256" s="11">
        <v>12.4</v>
      </c>
      <c r="H256" s="11">
        <v>13.5</v>
      </c>
      <c r="I256" s="11">
        <v>13.5</v>
      </c>
      <c r="J256" s="11">
        <v>10</v>
      </c>
      <c r="K256" s="11">
        <v>64</v>
      </c>
      <c r="L256" s="11">
        <v>40</v>
      </c>
      <c r="M256" s="11">
        <v>43</v>
      </c>
      <c r="N256" s="11">
        <v>36</v>
      </c>
      <c r="O256" s="11">
        <v>17.3</v>
      </c>
      <c r="P256" s="11">
        <v>14.4</v>
      </c>
      <c r="Q256" s="11">
        <v>420</v>
      </c>
      <c r="R256"/>
      <c r="S256"/>
      <c r="T256"/>
      <c r="U256"/>
      <c r="V256"/>
      <c r="W256"/>
      <c r="X256"/>
      <c r="Y256"/>
      <c r="Z256"/>
      <c r="AA256"/>
      <c r="AB256"/>
    </row>
    <row r="257" s="7" customFormat="1" customHeight="1" spans="1:28">
      <c r="A257" s="12" t="s">
        <v>869</v>
      </c>
      <c r="B257" s="12" t="str">
        <f>_xlfn.DISPIMG("ID_5B8FE3AB53C64ED5A7B5CB6479D3BC28",1)</f>
        <v>=DISPIMG("ID_5B8FE3AB53C64ED5A7B5CB6479D3BC28",1)</v>
      </c>
      <c r="C257" s="13">
        <v>3.5</v>
      </c>
      <c r="D257" s="13">
        <v>2.9</v>
      </c>
      <c r="E257" s="13">
        <v>3.5</v>
      </c>
      <c r="F257" s="13">
        <v>3.5</v>
      </c>
      <c r="G257" s="13">
        <v>3.2</v>
      </c>
      <c r="H257" s="13">
        <v>3.6</v>
      </c>
      <c r="I257" s="13">
        <v>3.6</v>
      </c>
      <c r="J257" s="13">
        <v>2.4</v>
      </c>
      <c r="K257" s="13">
        <v>21</v>
      </c>
      <c r="L257" s="13">
        <v>13</v>
      </c>
      <c r="M257" s="13">
        <v>14</v>
      </c>
      <c r="N257" s="13">
        <v>12</v>
      </c>
      <c r="O257" s="13">
        <v>3.7</v>
      </c>
      <c r="P257" s="13">
        <v>4.2</v>
      </c>
      <c r="Q257" s="13">
        <v>400</v>
      </c>
      <c r="R257"/>
      <c r="S257"/>
      <c r="T257"/>
      <c r="U257"/>
      <c r="V257"/>
      <c r="W257"/>
      <c r="X257"/>
      <c r="Y257"/>
      <c r="Z257"/>
      <c r="AA257"/>
      <c r="AB257"/>
    </row>
    <row r="258" s="7" customFormat="1" customHeight="1" spans="1:28">
      <c r="A258" s="14" t="s">
        <v>870</v>
      </c>
      <c r="B258" s="14" t="str">
        <f>_xlfn.DISPIMG("ID_7D850AAEA5F04D578C5CA03BD783F09C",1)</f>
        <v>=DISPIMG("ID_7D850AAEA5F04D578C5CA03BD783F09C",1)</v>
      </c>
      <c r="C258" s="15">
        <v>7.4</v>
      </c>
      <c r="D258" s="15">
        <v>6.2</v>
      </c>
      <c r="E258" s="15">
        <v>7.4</v>
      </c>
      <c r="F258" s="15">
        <v>7.4</v>
      </c>
      <c r="G258" s="15">
        <v>6</v>
      </c>
      <c r="H258" s="15">
        <v>6.8</v>
      </c>
      <c r="I258" s="15">
        <v>6.8</v>
      </c>
      <c r="J258" s="15">
        <v>4.5</v>
      </c>
      <c r="K258" s="15">
        <v>38</v>
      </c>
      <c r="L258" s="15">
        <v>23</v>
      </c>
      <c r="M258" s="15">
        <v>24</v>
      </c>
      <c r="N258" s="15">
        <v>21</v>
      </c>
      <c r="O258" s="15">
        <v>9.1</v>
      </c>
      <c r="P258" s="15">
        <v>8.4</v>
      </c>
      <c r="Q258" s="15">
        <v>410</v>
      </c>
      <c r="R258"/>
      <c r="S258"/>
      <c r="T258"/>
      <c r="U258"/>
      <c r="V258"/>
      <c r="W258"/>
      <c r="X258"/>
      <c r="Y258"/>
      <c r="Z258"/>
      <c r="AA258"/>
      <c r="AB258"/>
    </row>
    <row r="259" s="7" customFormat="1" customHeight="1" spans="1:28">
      <c r="A259" s="8" t="s">
        <v>871</v>
      </c>
      <c r="B259" s="8" t="str">
        <f>_xlfn.DISPIMG("ID_C92463C51A124CC48CF381D22EA8B6F1",1)</f>
        <v>=DISPIMG("ID_C92463C51A124CC48CF381D22EA8B6F1",1)</v>
      </c>
      <c r="C259" s="9">
        <v>4.8</v>
      </c>
      <c r="D259" s="9">
        <v>4.7</v>
      </c>
      <c r="E259" s="9">
        <v>5.1</v>
      </c>
      <c r="F259" s="9">
        <v>4.6</v>
      </c>
      <c r="G259" s="9">
        <v>4.8</v>
      </c>
      <c r="H259" s="9">
        <v>4.4</v>
      </c>
      <c r="I259" s="9">
        <v>4</v>
      </c>
      <c r="J259" s="9">
        <v>4</v>
      </c>
      <c r="K259" s="9">
        <v>34</v>
      </c>
      <c r="L259" s="9">
        <v>19</v>
      </c>
      <c r="M259" s="9">
        <v>21</v>
      </c>
      <c r="N259" s="9">
        <v>15</v>
      </c>
      <c r="O259" s="9">
        <v>5</v>
      </c>
      <c r="P259" s="9">
        <v>6.3</v>
      </c>
      <c r="Q259" s="9">
        <v>410</v>
      </c>
      <c r="R259"/>
      <c r="S259"/>
      <c r="T259"/>
      <c r="U259"/>
      <c r="V259"/>
      <c r="W259"/>
      <c r="X259"/>
      <c r="Y259"/>
      <c r="Z259"/>
      <c r="AA259"/>
      <c r="AB259"/>
    </row>
    <row r="260" s="7" customFormat="1" customHeight="1" spans="1:28">
      <c r="A260" s="10" t="s">
        <v>872</v>
      </c>
      <c r="B260" s="10" t="str">
        <f>_xlfn.DISPIMG("ID_680D22695FAB4E0BAD90359D000E6EA3",1)</f>
        <v>=DISPIMG("ID_680D22695FAB4E0BAD90359D000E6EA3",1)</v>
      </c>
      <c r="C260" s="11">
        <v>13.3</v>
      </c>
      <c r="D260" s="11">
        <v>13</v>
      </c>
      <c r="E260" s="11">
        <v>14</v>
      </c>
      <c r="F260" s="11">
        <v>12.7</v>
      </c>
      <c r="G260" s="11">
        <v>13</v>
      </c>
      <c r="H260" s="11">
        <v>12.1</v>
      </c>
      <c r="I260" s="11">
        <v>11.1</v>
      </c>
      <c r="J260" s="11">
        <v>11.1</v>
      </c>
      <c r="K260" s="11">
        <v>78</v>
      </c>
      <c r="L260" s="11">
        <v>43</v>
      </c>
      <c r="M260" s="11">
        <v>46</v>
      </c>
      <c r="N260" s="11">
        <v>33</v>
      </c>
      <c r="O260" s="11">
        <v>14.6</v>
      </c>
      <c r="P260" s="11">
        <v>14.4</v>
      </c>
      <c r="Q260" s="11">
        <v>410</v>
      </c>
      <c r="R260"/>
      <c r="S260"/>
      <c r="T260"/>
      <c r="U260"/>
      <c r="V260"/>
      <c r="W260"/>
      <c r="X260"/>
      <c r="Y260"/>
      <c r="Z260"/>
      <c r="AA260"/>
      <c r="AB260"/>
    </row>
    <row r="261" s="7" customFormat="1" customHeight="1" spans="1:28">
      <c r="A261" s="12" t="s">
        <v>873</v>
      </c>
      <c r="B261" s="12" t="str">
        <f>_xlfn.DISPIMG("ID_7EB3025A7EA04983A9F6EE53F675619B",1)</f>
        <v>=DISPIMG("ID_7EB3025A7EA04983A9F6EE53F675619B",1)</v>
      </c>
      <c r="C261" s="13">
        <v>3.2</v>
      </c>
      <c r="D261" s="13">
        <v>3.1</v>
      </c>
      <c r="E261" s="13">
        <v>3.3</v>
      </c>
      <c r="F261" s="13">
        <v>3</v>
      </c>
      <c r="G261" s="13">
        <v>3</v>
      </c>
      <c r="H261" s="13">
        <v>2.9</v>
      </c>
      <c r="I261" s="13">
        <v>2.6</v>
      </c>
      <c r="J261" s="13">
        <v>2.6</v>
      </c>
      <c r="K261" s="13">
        <v>25</v>
      </c>
      <c r="L261" s="13">
        <v>13</v>
      </c>
      <c r="M261" s="13">
        <v>14</v>
      </c>
      <c r="N261" s="13">
        <v>9</v>
      </c>
      <c r="O261" s="13">
        <v>3.4</v>
      </c>
      <c r="P261" s="13">
        <v>4.8</v>
      </c>
      <c r="Q261" s="13">
        <v>420</v>
      </c>
      <c r="R261"/>
      <c r="S261"/>
      <c r="T261"/>
      <c r="U261"/>
      <c r="V261"/>
      <c r="W261"/>
      <c r="X261"/>
      <c r="Y261"/>
      <c r="Z261"/>
      <c r="AA261"/>
      <c r="AB261"/>
    </row>
    <row r="262" s="7" customFormat="1" customHeight="1" spans="1:28">
      <c r="A262" s="14" t="s">
        <v>874</v>
      </c>
      <c r="B262" s="14" t="str">
        <f>_xlfn.DISPIMG("ID_0488380451B14DB8A340B3CDAA418EA5",1)</f>
        <v>=DISPIMG("ID_0488380451B14DB8A340B3CDAA418EA5",1)</v>
      </c>
      <c r="C262" s="15">
        <v>7.3</v>
      </c>
      <c r="D262" s="15">
        <v>7.2</v>
      </c>
      <c r="E262" s="15">
        <v>7.7</v>
      </c>
      <c r="F262" s="15">
        <v>7</v>
      </c>
      <c r="G262" s="15">
        <v>7.1</v>
      </c>
      <c r="H262" s="15">
        <v>6.6</v>
      </c>
      <c r="I262" s="15">
        <v>6</v>
      </c>
      <c r="J262" s="15">
        <v>6</v>
      </c>
      <c r="K262" s="15">
        <v>45</v>
      </c>
      <c r="L262" s="15">
        <v>23</v>
      </c>
      <c r="M262" s="15">
        <v>25</v>
      </c>
      <c r="N262" s="15">
        <v>17</v>
      </c>
      <c r="O262" s="15">
        <v>8.6</v>
      </c>
      <c r="P262" s="15">
        <v>8.6</v>
      </c>
      <c r="Q262" s="15">
        <v>410</v>
      </c>
      <c r="R262"/>
      <c r="S262"/>
      <c r="T262"/>
      <c r="U262"/>
      <c r="V262"/>
      <c r="W262"/>
      <c r="X262"/>
      <c r="Y262"/>
      <c r="Z262"/>
      <c r="AA262"/>
      <c r="AB262"/>
    </row>
    <row r="263" s="7" customFormat="1" customHeight="1" spans="1:28">
      <c r="A263" s="8" t="s">
        <v>875</v>
      </c>
      <c r="B263" s="8" t="str">
        <f>_xlfn.DISPIMG("ID_621EF1ED2A3B4DBF9947550D87813BEC",1)</f>
        <v>=DISPIMG("ID_621EF1ED2A3B4DBF9947550D87813BEC",1)</v>
      </c>
      <c r="C263" s="9">
        <v>4.8</v>
      </c>
      <c r="D263" s="9">
        <v>4.5</v>
      </c>
      <c r="E263" s="9">
        <v>5.1</v>
      </c>
      <c r="F263" s="9">
        <v>5</v>
      </c>
      <c r="G263" s="9">
        <v>4.7</v>
      </c>
      <c r="H263" s="9">
        <v>4.5</v>
      </c>
      <c r="I263" s="9">
        <v>4.1</v>
      </c>
      <c r="J263" s="9">
        <v>4.1</v>
      </c>
      <c r="K263" s="9">
        <v>24</v>
      </c>
      <c r="L263" s="9">
        <v>19</v>
      </c>
      <c r="M263" s="9">
        <v>17</v>
      </c>
      <c r="N263" s="9">
        <v>13</v>
      </c>
      <c r="O263" s="9">
        <v>6.2</v>
      </c>
      <c r="P263" s="9">
        <v>6.1</v>
      </c>
      <c r="Q263" s="9">
        <v>410</v>
      </c>
      <c r="R263"/>
      <c r="S263"/>
      <c r="T263"/>
      <c r="U263"/>
      <c r="V263"/>
      <c r="W263"/>
      <c r="X263"/>
      <c r="Y263"/>
      <c r="Z263"/>
      <c r="AA263"/>
      <c r="AB263"/>
    </row>
    <row r="264" s="7" customFormat="1" customHeight="1" spans="1:28">
      <c r="A264" s="10" t="s">
        <v>876</v>
      </c>
      <c r="B264" s="10" t="str">
        <f>_xlfn.DISPIMG("ID_236FEC1A2808424BADF29E9A12BBC324",1)</f>
        <v>=DISPIMG("ID_236FEC1A2808424BADF29E9A12BBC324",1)</v>
      </c>
      <c r="C264" s="11">
        <v>13.4</v>
      </c>
      <c r="D264" s="11">
        <v>12.7</v>
      </c>
      <c r="E264" s="11">
        <v>14.1</v>
      </c>
      <c r="F264" s="11">
        <v>13.7</v>
      </c>
      <c r="G264" s="11">
        <v>12.9</v>
      </c>
      <c r="H264" s="11">
        <v>12.4</v>
      </c>
      <c r="I264" s="11">
        <v>11.4</v>
      </c>
      <c r="J264" s="11">
        <v>11.4</v>
      </c>
      <c r="K264" s="11">
        <v>65</v>
      </c>
      <c r="L264" s="11">
        <v>55</v>
      </c>
      <c r="M264" s="11">
        <v>50</v>
      </c>
      <c r="N264" s="11">
        <v>39</v>
      </c>
      <c r="O264" s="11">
        <v>18.2</v>
      </c>
      <c r="P264" s="11">
        <v>15</v>
      </c>
      <c r="Q264" s="11">
        <v>420</v>
      </c>
      <c r="R264"/>
      <c r="S264"/>
      <c r="T264"/>
      <c r="U264"/>
      <c r="V264"/>
      <c r="W264"/>
      <c r="X264"/>
      <c r="Y264"/>
      <c r="Z264"/>
      <c r="AA264"/>
      <c r="AB264"/>
    </row>
    <row r="265" s="7" customFormat="1" customHeight="1" spans="1:28">
      <c r="A265" s="12" t="s">
        <v>877</v>
      </c>
      <c r="B265" s="12" t="str">
        <f>_xlfn.DISPIMG("ID_F03E89F40BE5465EB17FD0DD7C6B73BA",1)</f>
        <v>=DISPIMG("ID_F03E89F40BE5465EB17FD0DD7C6B73BA",1)</v>
      </c>
      <c r="C265" s="13">
        <v>3.5</v>
      </c>
      <c r="D265" s="13">
        <v>2.9</v>
      </c>
      <c r="E265" s="13">
        <v>3.6</v>
      </c>
      <c r="F265" s="13">
        <v>3.6</v>
      </c>
      <c r="G265" s="13">
        <v>2.9</v>
      </c>
      <c r="H265" s="13">
        <v>2.8</v>
      </c>
      <c r="I265" s="13">
        <v>2.5</v>
      </c>
      <c r="J265" s="13">
        <v>2.5</v>
      </c>
      <c r="K265" s="13">
        <v>22</v>
      </c>
      <c r="L265" s="13">
        <v>18</v>
      </c>
      <c r="M265" s="13">
        <v>17</v>
      </c>
      <c r="N265" s="13">
        <v>14</v>
      </c>
      <c r="O265" s="13">
        <v>3.3</v>
      </c>
      <c r="P265" s="13">
        <v>4.7</v>
      </c>
      <c r="Q265" s="13">
        <v>400</v>
      </c>
      <c r="R265"/>
      <c r="S265"/>
      <c r="T265"/>
      <c r="U265"/>
      <c r="V265"/>
      <c r="W265"/>
      <c r="X265"/>
      <c r="Y265"/>
      <c r="Z265"/>
      <c r="AA265"/>
      <c r="AB265"/>
    </row>
    <row r="266" s="7" customFormat="1" customHeight="1" spans="1:28">
      <c r="A266" s="14" t="s">
        <v>878</v>
      </c>
      <c r="B266" s="14" t="str">
        <f>_xlfn.DISPIMG("ID_73337CB4673F49A8B67FC5E25C877E43",1)</f>
        <v>=DISPIMG("ID_73337CB4673F49A8B67FC5E25C877E43",1)</v>
      </c>
      <c r="C266" s="15">
        <v>7.6</v>
      </c>
      <c r="D266" s="15">
        <v>7</v>
      </c>
      <c r="E266" s="15">
        <v>7.9</v>
      </c>
      <c r="F266" s="15">
        <v>7.8</v>
      </c>
      <c r="G266" s="15">
        <v>7.3</v>
      </c>
      <c r="H266" s="15">
        <v>7</v>
      </c>
      <c r="I266" s="15">
        <v>6.3</v>
      </c>
      <c r="J266" s="15">
        <v>6.3</v>
      </c>
      <c r="K266" s="15">
        <v>36</v>
      </c>
      <c r="L266" s="15">
        <v>28</v>
      </c>
      <c r="M266" s="15">
        <v>25</v>
      </c>
      <c r="N266" s="15">
        <v>20</v>
      </c>
      <c r="O266" s="15">
        <v>9.8</v>
      </c>
      <c r="P266" s="15">
        <v>9.1</v>
      </c>
      <c r="Q266" s="15">
        <v>400</v>
      </c>
      <c r="R266"/>
      <c r="S266"/>
      <c r="T266"/>
      <c r="U266"/>
      <c r="V266"/>
      <c r="W266"/>
      <c r="X266"/>
      <c r="Y266"/>
      <c r="Z266"/>
      <c r="AA266"/>
      <c r="AB266"/>
    </row>
    <row r="267" s="7" customFormat="1" customHeight="1" spans="1:28">
      <c r="A267" s="8" t="s">
        <v>879</v>
      </c>
      <c r="B267" s="8" t="str">
        <f>_xlfn.DISPIMG("ID_8C9E7E9F90FA4A63A5BD39BCDEE85195",1)</f>
        <v>=DISPIMG("ID_8C9E7E9F90FA4A63A5BD39BCDEE85195",1)</v>
      </c>
      <c r="C267" s="9">
        <v>6.1</v>
      </c>
      <c r="D267" s="9">
        <v>4.5</v>
      </c>
      <c r="E267" s="9">
        <v>6.4</v>
      </c>
      <c r="F267" s="9">
        <v>6.6</v>
      </c>
      <c r="G267" s="9">
        <v>3.9</v>
      </c>
      <c r="H267" s="9">
        <v>4.5</v>
      </c>
      <c r="I267" s="9">
        <v>5.3</v>
      </c>
      <c r="J267" s="9">
        <v>5.1</v>
      </c>
      <c r="K267" s="9">
        <v>33</v>
      </c>
      <c r="L267" s="9">
        <v>22</v>
      </c>
      <c r="M267" s="9">
        <v>24</v>
      </c>
      <c r="N267" s="9">
        <v>11</v>
      </c>
      <c r="O267" s="9">
        <v>7</v>
      </c>
      <c r="P267" s="9">
        <v>6.3</v>
      </c>
      <c r="Q267" s="9">
        <v>450</v>
      </c>
      <c r="R267"/>
      <c r="S267"/>
      <c r="T267"/>
      <c r="U267"/>
      <c r="V267"/>
      <c r="W267"/>
      <c r="X267"/>
      <c r="Y267"/>
      <c r="Z267"/>
      <c r="AA267"/>
      <c r="AB267"/>
    </row>
    <row r="268" s="7" customFormat="1" customHeight="1" spans="1:28">
      <c r="A268" s="10" t="s">
        <v>880</v>
      </c>
      <c r="B268" s="10" t="str">
        <f>_xlfn.DISPIMG("ID_AE197FAC26624290B20CDD5A0CFE805F",1)</f>
        <v>=DISPIMG("ID_AE197FAC26624290B20CDD5A0CFE805F",1)</v>
      </c>
      <c r="C268" s="11">
        <v>15.7</v>
      </c>
      <c r="D268" s="11">
        <v>11.6</v>
      </c>
      <c r="E268" s="11">
        <v>16.5</v>
      </c>
      <c r="F268" s="11">
        <v>17.2</v>
      </c>
      <c r="G268" s="11">
        <v>9.9</v>
      </c>
      <c r="H268" s="11">
        <v>11.6</v>
      </c>
      <c r="I268" s="11">
        <v>13.8</v>
      </c>
      <c r="J268" s="11">
        <v>13.2</v>
      </c>
      <c r="K268" s="11">
        <v>81</v>
      </c>
      <c r="L268" s="11">
        <v>54</v>
      </c>
      <c r="M268" s="11">
        <v>60</v>
      </c>
      <c r="N268" s="11">
        <v>29</v>
      </c>
      <c r="O268" s="11">
        <v>20.1</v>
      </c>
      <c r="P268" s="11">
        <v>14.8</v>
      </c>
      <c r="Q268" s="11">
        <v>450</v>
      </c>
      <c r="R268"/>
      <c r="S268"/>
      <c r="T268"/>
      <c r="U268"/>
      <c r="V268"/>
      <c r="W268"/>
      <c r="X268"/>
      <c r="Y268"/>
      <c r="Z268"/>
      <c r="AA268"/>
      <c r="AB268"/>
    </row>
    <row r="269" s="7" customFormat="1" customHeight="1" spans="1:28">
      <c r="A269" s="12" t="s">
        <v>881</v>
      </c>
      <c r="B269" s="12" t="str">
        <f>_xlfn.DISPIMG("ID_3C11DB7B288B4A3BA0DCC3BC1211E456",1)</f>
        <v>=DISPIMG("ID_3C11DB7B288B4A3BA0DCC3BC1211E456",1)</v>
      </c>
      <c r="C269" s="13">
        <v>3.7</v>
      </c>
      <c r="D269" s="13">
        <v>2.6</v>
      </c>
      <c r="E269" s="13">
        <v>3.9</v>
      </c>
      <c r="F269" s="13">
        <v>4.1</v>
      </c>
      <c r="G269" s="13">
        <v>2.2</v>
      </c>
      <c r="H269" s="13">
        <v>2.6</v>
      </c>
      <c r="I269" s="13">
        <v>3.2</v>
      </c>
      <c r="J269" s="13">
        <v>3</v>
      </c>
      <c r="K269" s="13">
        <v>26</v>
      </c>
      <c r="L269" s="13">
        <v>17</v>
      </c>
      <c r="M269" s="13">
        <v>19</v>
      </c>
      <c r="N269" s="13">
        <v>8</v>
      </c>
      <c r="O269" s="13">
        <v>4.8</v>
      </c>
      <c r="P269" s="13">
        <v>5.1</v>
      </c>
      <c r="Q269" s="13">
        <v>450</v>
      </c>
      <c r="R269"/>
      <c r="S269"/>
      <c r="T269"/>
      <c r="U269"/>
      <c r="V269"/>
      <c r="W269"/>
      <c r="X269"/>
      <c r="Y269"/>
      <c r="Z269"/>
      <c r="AA269"/>
      <c r="AB269"/>
    </row>
    <row r="270" s="7" customFormat="1" customHeight="1" spans="1:28">
      <c r="A270" s="14" t="s">
        <v>882</v>
      </c>
      <c r="B270" s="14" t="str">
        <f>_xlfn.DISPIMG("ID_B4D8E51535D147CBB0A62FAF90ACE1A1",1)</f>
        <v>=DISPIMG("ID_B4D8E51535D147CBB0A62FAF90ACE1A1",1)</v>
      </c>
      <c r="C270" s="15">
        <v>9.5</v>
      </c>
      <c r="D270" s="15">
        <v>7.1</v>
      </c>
      <c r="E270" s="15">
        <v>9.9</v>
      </c>
      <c r="F270" s="15">
        <v>10.4</v>
      </c>
      <c r="G270" s="15">
        <v>6.1</v>
      </c>
      <c r="H270" s="15">
        <v>7.1</v>
      </c>
      <c r="I270" s="15">
        <v>8.4</v>
      </c>
      <c r="J270" s="15">
        <v>8</v>
      </c>
      <c r="K270" s="15">
        <v>48</v>
      </c>
      <c r="L270" s="15">
        <v>32</v>
      </c>
      <c r="M270" s="15">
        <v>35</v>
      </c>
      <c r="N270" s="15">
        <v>16</v>
      </c>
      <c r="O270" s="15">
        <v>12.5</v>
      </c>
      <c r="P270" s="15">
        <v>9.5</v>
      </c>
      <c r="Q270" s="15">
        <v>450</v>
      </c>
      <c r="R270"/>
      <c r="S270"/>
      <c r="T270"/>
      <c r="U270"/>
      <c r="V270"/>
      <c r="W270"/>
      <c r="X270"/>
      <c r="Y270"/>
      <c r="Z270"/>
      <c r="AA270"/>
      <c r="AB270"/>
    </row>
    <row r="271" s="7" customFormat="1" customHeight="1" spans="1:28">
      <c r="A271" s="8" t="s">
        <v>883</v>
      </c>
      <c r="B271" s="8" t="str">
        <f>_xlfn.DISPIMG("ID_C6A7130C61D145F5A9C1F8B5546EAF98",1)</f>
        <v>=DISPIMG("ID_C6A7130C61D145F5A9C1F8B5546EAF98",1)</v>
      </c>
      <c r="C271" s="9">
        <v>4.8</v>
      </c>
      <c r="D271" s="9">
        <v>3.8</v>
      </c>
      <c r="E271" s="9">
        <v>5</v>
      </c>
      <c r="F271" s="9">
        <v>4.6</v>
      </c>
      <c r="G271" s="9">
        <v>4</v>
      </c>
      <c r="H271" s="9">
        <v>4.6</v>
      </c>
      <c r="I271" s="9">
        <v>2.8</v>
      </c>
      <c r="J271" s="9">
        <v>3.6</v>
      </c>
      <c r="K271" s="9">
        <v>31</v>
      </c>
      <c r="L271" s="9">
        <v>18</v>
      </c>
      <c r="M271" s="9">
        <v>22</v>
      </c>
      <c r="N271" s="9">
        <v>14</v>
      </c>
      <c r="O271" s="9">
        <v>5.7</v>
      </c>
      <c r="P271" s="9">
        <v>6</v>
      </c>
      <c r="Q271" s="9">
        <v>410</v>
      </c>
      <c r="R271"/>
      <c r="S271"/>
      <c r="T271"/>
      <c r="U271"/>
      <c r="V271"/>
      <c r="W271"/>
      <c r="X271"/>
      <c r="Y271"/>
      <c r="Z271"/>
      <c r="AA271"/>
      <c r="AB271"/>
    </row>
    <row r="272" s="7" customFormat="1" customHeight="1" spans="1:28">
      <c r="A272" s="10" t="s">
        <v>884</v>
      </c>
      <c r="B272" s="10" t="str">
        <f>_xlfn.DISPIMG("ID_701D46748225475EA5A70EB5539D296A",1)</f>
        <v>=DISPIMG("ID_701D46748225475EA5A70EB5539D296A",1)</v>
      </c>
      <c r="C272" s="11">
        <v>14</v>
      </c>
      <c r="D272" s="11">
        <v>11.9</v>
      </c>
      <c r="E272" s="11">
        <v>14.9</v>
      </c>
      <c r="F272" s="11">
        <v>13.3</v>
      </c>
      <c r="G272" s="11">
        <v>12.4</v>
      </c>
      <c r="H272" s="11">
        <v>13.5</v>
      </c>
      <c r="I272" s="11">
        <v>9.5</v>
      </c>
      <c r="J272" s="11">
        <v>11.4</v>
      </c>
      <c r="K272" s="11">
        <v>75</v>
      </c>
      <c r="L272" s="11">
        <v>43</v>
      </c>
      <c r="M272" s="11">
        <v>58</v>
      </c>
      <c r="N272" s="11">
        <v>34</v>
      </c>
      <c r="O272" s="11">
        <v>18.4</v>
      </c>
      <c r="P272" s="11">
        <v>15.7</v>
      </c>
      <c r="Q272" s="11">
        <v>430</v>
      </c>
      <c r="R272"/>
      <c r="S272"/>
      <c r="T272"/>
      <c r="U272"/>
      <c r="V272"/>
      <c r="W272"/>
      <c r="X272"/>
      <c r="Y272"/>
      <c r="Z272"/>
      <c r="AA272"/>
      <c r="AB272"/>
    </row>
    <row r="273" s="7" customFormat="1" customHeight="1" spans="1:28">
      <c r="A273" s="12" t="s">
        <v>885</v>
      </c>
      <c r="B273" s="12" t="str">
        <f>_xlfn.DISPIMG("ID_18454504FF1B425894AA57CF1552E55B",1)</f>
        <v>=DISPIMG("ID_18454504FF1B425894AA57CF1552E55B",1)</v>
      </c>
      <c r="C273" s="13">
        <v>3.4</v>
      </c>
      <c r="D273" s="13">
        <v>2.8</v>
      </c>
      <c r="E273" s="13">
        <v>3.6</v>
      </c>
      <c r="F273" s="13">
        <v>3.2</v>
      </c>
      <c r="G273" s="13">
        <v>2.9</v>
      </c>
      <c r="H273" s="13">
        <v>3.3</v>
      </c>
      <c r="I273" s="13">
        <v>2.1</v>
      </c>
      <c r="J273" s="13">
        <v>2.7</v>
      </c>
      <c r="K273" s="13">
        <v>25</v>
      </c>
      <c r="L273" s="13">
        <v>15</v>
      </c>
      <c r="M273" s="13">
        <v>19</v>
      </c>
      <c r="N273" s="13">
        <v>12</v>
      </c>
      <c r="O273" s="13">
        <v>4.1</v>
      </c>
      <c r="P273" s="13">
        <v>5</v>
      </c>
      <c r="Q273" s="13">
        <v>420</v>
      </c>
      <c r="R273"/>
      <c r="S273"/>
      <c r="T273"/>
      <c r="U273"/>
      <c r="V273"/>
      <c r="W273"/>
      <c r="X273"/>
      <c r="Y273"/>
      <c r="Z273"/>
      <c r="AA273"/>
      <c r="AB273"/>
    </row>
    <row r="274" s="7" customFormat="1" customHeight="1" spans="1:28">
      <c r="A274" s="14" t="s">
        <v>886</v>
      </c>
      <c r="B274" s="14" t="str">
        <f>_xlfn.DISPIMG("ID_EEC737B1E6FD4080A4CA775257A0D799",1)</f>
        <v>=DISPIMG("ID_EEC737B1E6FD4080A4CA775257A0D799",1)</v>
      </c>
      <c r="C274" s="15">
        <v>7.9</v>
      </c>
      <c r="D274" s="15">
        <v>6.5</v>
      </c>
      <c r="E274" s="15">
        <v>8.3</v>
      </c>
      <c r="F274" s="15">
        <v>7.4</v>
      </c>
      <c r="G274" s="15">
        <v>6.8</v>
      </c>
      <c r="H274" s="15">
        <v>7.6</v>
      </c>
      <c r="I274" s="15">
        <v>5</v>
      </c>
      <c r="J274" s="15">
        <v>6.2</v>
      </c>
      <c r="K274" s="15">
        <v>44</v>
      </c>
      <c r="L274" s="15">
        <v>24</v>
      </c>
      <c r="M274" s="15">
        <v>32</v>
      </c>
      <c r="N274" s="15">
        <v>20</v>
      </c>
      <c r="O274" s="15">
        <v>10.9</v>
      </c>
      <c r="P274" s="15">
        <v>9.3</v>
      </c>
      <c r="Q274" s="15">
        <v>420</v>
      </c>
      <c r="R274"/>
      <c r="S274"/>
      <c r="T274"/>
      <c r="U274"/>
      <c r="V274"/>
      <c r="W274"/>
      <c r="X274"/>
      <c r="Y274"/>
      <c r="Z274"/>
      <c r="AA274"/>
      <c r="AB274"/>
    </row>
    <row r="275" s="7" customFormat="1" customHeight="1" spans="1:28">
      <c r="A275" s="8" t="s">
        <v>887</v>
      </c>
      <c r="B275" s="8" t="str">
        <f>_xlfn.DISPIMG("ID_CE1B85348D9245069450D6951340A884",1)</f>
        <v>=DISPIMG("ID_CE1B85348D9245069450D6951340A884",1)</v>
      </c>
      <c r="C275" s="9">
        <v>6.8</v>
      </c>
      <c r="D275" s="9">
        <v>5.8</v>
      </c>
      <c r="E275" s="9">
        <v>6.8</v>
      </c>
      <c r="F275" s="9">
        <v>6.8</v>
      </c>
      <c r="G275" s="9">
        <v>4.6</v>
      </c>
      <c r="H275" s="9">
        <v>4.7</v>
      </c>
      <c r="I275" s="9">
        <v>4.2</v>
      </c>
      <c r="J275" s="9">
        <v>4.6</v>
      </c>
      <c r="K275" s="9">
        <v>31</v>
      </c>
      <c r="L275" s="9">
        <v>25</v>
      </c>
      <c r="M275" s="9">
        <v>22</v>
      </c>
      <c r="N275" s="9">
        <v>15</v>
      </c>
      <c r="O275" s="9">
        <v>7.3</v>
      </c>
      <c r="P275" s="9">
        <v>6.5</v>
      </c>
      <c r="Q275" s="9">
        <v>450</v>
      </c>
      <c r="R275"/>
      <c r="S275"/>
      <c r="T275"/>
      <c r="U275"/>
      <c r="V275"/>
      <c r="W275"/>
      <c r="X275"/>
      <c r="Y275"/>
      <c r="Z275"/>
      <c r="AA275"/>
      <c r="AB275"/>
    </row>
    <row r="276" s="7" customFormat="1" customHeight="1" spans="1:28">
      <c r="A276" s="10" t="s">
        <v>888</v>
      </c>
      <c r="B276" s="10" t="str">
        <f>_xlfn.DISPIMG("ID_8268F3FEE4F7496CBDB7DEC999147A72",1)</f>
        <v>=DISPIMG("ID_8268F3FEE4F7496CBDB7DEC999147A72",1)</v>
      </c>
      <c r="C276" s="11">
        <v>18.2</v>
      </c>
      <c r="D276" s="11">
        <v>15.5</v>
      </c>
      <c r="E276" s="11">
        <v>18.2</v>
      </c>
      <c r="F276" s="11">
        <v>18.2</v>
      </c>
      <c r="G276" s="11">
        <v>12.3</v>
      </c>
      <c r="H276" s="11">
        <v>12.7</v>
      </c>
      <c r="I276" s="11">
        <v>11.2</v>
      </c>
      <c r="J276" s="11">
        <v>12.3</v>
      </c>
      <c r="K276" s="11">
        <v>77</v>
      </c>
      <c r="L276" s="11">
        <v>61</v>
      </c>
      <c r="M276" s="11">
        <v>54</v>
      </c>
      <c r="N276" s="11">
        <v>38</v>
      </c>
      <c r="O276" s="11">
        <v>20.7</v>
      </c>
      <c r="P276" s="11">
        <v>15.6</v>
      </c>
      <c r="Q276" s="11">
        <v>450</v>
      </c>
      <c r="R276"/>
      <c r="S276"/>
      <c r="T276"/>
      <c r="U276"/>
      <c r="V276"/>
      <c r="W276"/>
      <c r="X276"/>
      <c r="Y276"/>
      <c r="Z276"/>
      <c r="AA276"/>
      <c r="AB276"/>
    </row>
    <row r="277" s="7" customFormat="1" customHeight="1" spans="1:28">
      <c r="A277" s="12" t="s">
        <v>889</v>
      </c>
      <c r="B277" s="12" t="str">
        <f>_xlfn.DISPIMG("ID_F3C9996A7B9C42F4A739CF04163CF930",1)</f>
        <v>=DISPIMG("ID_F3C9996A7B9C42F4A739CF04163CF930",1)</v>
      </c>
      <c r="C277" s="13">
        <v>4.6</v>
      </c>
      <c r="D277" s="13">
        <v>3.9</v>
      </c>
      <c r="E277" s="13">
        <v>4.6</v>
      </c>
      <c r="F277" s="13">
        <v>4.6</v>
      </c>
      <c r="G277" s="13">
        <v>3.1</v>
      </c>
      <c r="H277" s="13">
        <v>3.2</v>
      </c>
      <c r="I277" s="13">
        <v>2.8</v>
      </c>
      <c r="J277" s="13">
        <v>3.1</v>
      </c>
      <c r="K277" s="13">
        <v>24</v>
      </c>
      <c r="L277" s="13">
        <v>19</v>
      </c>
      <c r="M277" s="13">
        <v>17</v>
      </c>
      <c r="N277" s="13">
        <v>11</v>
      </c>
      <c r="O277" s="13">
        <v>4.9</v>
      </c>
      <c r="P277" s="13">
        <v>5.1</v>
      </c>
      <c r="Q277" s="13">
        <v>450</v>
      </c>
      <c r="R277"/>
      <c r="S277"/>
      <c r="T277"/>
      <c r="U277"/>
      <c r="V277"/>
      <c r="W277"/>
      <c r="X277"/>
      <c r="Y277"/>
      <c r="Z277"/>
      <c r="AA277"/>
      <c r="AB277"/>
    </row>
    <row r="278" s="7" customFormat="1" customHeight="1" spans="1:28">
      <c r="A278" s="14" t="s">
        <v>890</v>
      </c>
      <c r="B278" s="14" t="str">
        <f>_xlfn.DISPIMG("ID_A524BA8A05CD42E59B48C246F4A85C01",1)</f>
        <v>=DISPIMG("ID_A524BA8A05CD42E59B48C246F4A85C01",1)</v>
      </c>
      <c r="C278" s="15">
        <v>10.8</v>
      </c>
      <c r="D278" s="15">
        <v>9.1</v>
      </c>
      <c r="E278" s="15">
        <v>10.8</v>
      </c>
      <c r="F278" s="15">
        <v>10.7</v>
      </c>
      <c r="G278" s="15">
        <v>7.2</v>
      </c>
      <c r="H278" s="15">
        <v>7.5</v>
      </c>
      <c r="I278" s="15">
        <v>6.6</v>
      </c>
      <c r="J278" s="15">
        <v>7.2</v>
      </c>
      <c r="K278" s="15">
        <v>46</v>
      </c>
      <c r="L278" s="15">
        <v>36</v>
      </c>
      <c r="M278" s="15">
        <v>32</v>
      </c>
      <c r="N278" s="15">
        <v>22</v>
      </c>
      <c r="O278" s="15">
        <v>12.9</v>
      </c>
      <c r="P278" s="15">
        <v>9.7</v>
      </c>
      <c r="Q278" s="15">
        <v>450</v>
      </c>
      <c r="R278"/>
      <c r="S278"/>
      <c r="T278"/>
      <c r="U278"/>
      <c r="V278"/>
      <c r="W278"/>
      <c r="X278"/>
      <c r="Y278"/>
      <c r="Z278"/>
      <c r="AA278"/>
      <c r="AB278"/>
    </row>
    <row r="279" s="7" customFormat="1" customHeight="1" spans="1:28">
      <c r="A279" s="8" t="s">
        <v>891</v>
      </c>
      <c r="B279" s="8" t="str">
        <f>_xlfn.DISPIMG("ID_4FC0077A060443A397D8C56F8606C161",1)</f>
        <v>=DISPIMG("ID_4FC0077A060443A397D8C56F8606C161",1)</v>
      </c>
      <c r="C279" s="9">
        <v>5.1</v>
      </c>
      <c r="D279" s="9">
        <v>4.3</v>
      </c>
      <c r="E279" s="9">
        <v>5.4</v>
      </c>
      <c r="F279" s="9">
        <v>5.3</v>
      </c>
      <c r="G279" s="9">
        <v>4.6</v>
      </c>
      <c r="H279" s="9">
        <v>5.7</v>
      </c>
      <c r="I279" s="9">
        <v>4.2</v>
      </c>
      <c r="J279" s="9">
        <v>4.6</v>
      </c>
      <c r="K279" s="9">
        <v>26</v>
      </c>
      <c r="L279" s="9">
        <v>19</v>
      </c>
      <c r="M279" s="9">
        <v>21</v>
      </c>
      <c r="N279" s="9">
        <v>13</v>
      </c>
      <c r="O279" s="9">
        <v>6.7</v>
      </c>
      <c r="P279" s="9">
        <v>6.8</v>
      </c>
      <c r="Q279" s="9">
        <v>450</v>
      </c>
      <c r="R279"/>
      <c r="S279"/>
      <c r="T279"/>
      <c r="U279"/>
      <c r="V279"/>
      <c r="W279"/>
      <c r="X279"/>
      <c r="Y279"/>
      <c r="Z279"/>
      <c r="AA279"/>
      <c r="AB279"/>
    </row>
    <row r="280" s="7" customFormat="1" customHeight="1" spans="1:28">
      <c r="A280" s="10" t="s">
        <v>892</v>
      </c>
      <c r="B280" s="10" t="str">
        <f>_xlfn.DISPIMG("ID_3DB6C8948CB04D79B07BB09F6B4AA763",1)</f>
        <v>=DISPIMG("ID_3DB6C8948CB04D79B07BB09F6B4AA763",1)</v>
      </c>
      <c r="C280" s="11">
        <v>14.6</v>
      </c>
      <c r="D280" s="11">
        <v>11.7</v>
      </c>
      <c r="E280" s="11">
        <v>14.6</v>
      </c>
      <c r="F280" s="11">
        <v>14.2</v>
      </c>
      <c r="G280" s="11">
        <v>12</v>
      </c>
      <c r="H280" s="11">
        <v>15.1</v>
      </c>
      <c r="I280" s="11">
        <v>11</v>
      </c>
      <c r="J280" s="11">
        <v>12</v>
      </c>
      <c r="K280" s="11">
        <v>65</v>
      </c>
      <c r="L280" s="11">
        <v>51</v>
      </c>
      <c r="M280" s="11">
        <v>57</v>
      </c>
      <c r="N280" s="11">
        <v>35</v>
      </c>
      <c r="O280" s="11">
        <v>18.7</v>
      </c>
      <c r="P280" s="11">
        <v>16.6</v>
      </c>
      <c r="Q280" s="11">
        <v>460</v>
      </c>
      <c r="R280"/>
      <c r="S280"/>
      <c r="T280"/>
      <c r="U280"/>
      <c r="V280"/>
      <c r="W280"/>
      <c r="X280"/>
      <c r="Y280"/>
      <c r="Z280"/>
      <c r="AA280"/>
      <c r="AB280"/>
    </row>
    <row r="281" s="7" customFormat="1" customHeight="1" spans="1:28">
      <c r="A281" s="12" t="s">
        <v>893</v>
      </c>
      <c r="B281" s="12" t="str">
        <f>_xlfn.DISPIMG("ID_2D82689448004EB3B6AFB5B2AA5C9C6B",1)</f>
        <v>=DISPIMG("ID_2D82689448004EB3B6AFB5B2AA5C9C6B",1)</v>
      </c>
      <c r="C281" s="13">
        <v>3.7</v>
      </c>
      <c r="D281" s="13">
        <v>2.8</v>
      </c>
      <c r="E281" s="13">
        <v>3.7</v>
      </c>
      <c r="F281" s="13">
        <v>3.5</v>
      </c>
      <c r="G281" s="13">
        <v>2.7</v>
      </c>
      <c r="H281" s="13">
        <v>3.7</v>
      </c>
      <c r="I281" s="13">
        <v>2.7</v>
      </c>
      <c r="J281" s="13">
        <v>2.9</v>
      </c>
      <c r="K281" s="13">
        <v>24</v>
      </c>
      <c r="L281" s="13">
        <v>16</v>
      </c>
      <c r="M281" s="13">
        <v>20</v>
      </c>
      <c r="N281" s="13">
        <v>14</v>
      </c>
      <c r="O281" s="13">
        <v>3.8</v>
      </c>
      <c r="P281" s="13">
        <v>5.3</v>
      </c>
      <c r="Q281" s="13">
        <v>450</v>
      </c>
      <c r="R281"/>
      <c r="S281"/>
      <c r="T281"/>
      <c r="U281"/>
      <c r="V281"/>
      <c r="W281"/>
      <c r="X281"/>
      <c r="Y281"/>
      <c r="Z281"/>
      <c r="AA281"/>
      <c r="AB281"/>
    </row>
    <row r="282" s="7" customFormat="1" customHeight="1" spans="1:28">
      <c r="A282" s="14" t="s">
        <v>894</v>
      </c>
      <c r="B282" s="14" t="str">
        <f>_xlfn.DISPIMG("ID_6C7E863C1AC847308C1210806FAB75A1",1)</f>
        <v>=DISPIMG("ID_6C7E863C1AC847308C1210806FAB75A1",1)</v>
      </c>
      <c r="C282" s="15">
        <v>8.7</v>
      </c>
      <c r="D282" s="15">
        <v>6.7</v>
      </c>
      <c r="E282" s="15">
        <v>8.5</v>
      </c>
      <c r="F282" s="15">
        <v>8.3</v>
      </c>
      <c r="G282" s="15">
        <v>7.2</v>
      </c>
      <c r="H282" s="15">
        <v>8.9</v>
      </c>
      <c r="I282" s="15">
        <v>6.6</v>
      </c>
      <c r="J282" s="15">
        <v>7.2</v>
      </c>
      <c r="K282" s="15">
        <v>42</v>
      </c>
      <c r="L282" s="15">
        <v>32</v>
      </c>
      <c r="M282" s="15">
        <v>35</v>
      </c>
      <c r="N282" s="15">
        <v>24</v>
      </c>
      <c r="O282" s="15">
        <v>11.8</v>
      </c>
      <c r="P282" s="15">
        <v>9.9</v>
      </c>
      <c r="Q282" s="15">
        <v>450</v>
      </c>
      <c r="R282"/>
      <c r="S282"/>
      <c r="T282"/>
      <c r="U282"/>
      <c r="V282"/>
      <c r="W282"/>
      <c r="X282"/>
      <c r="Y282"/>
      <c r="Z282"/>
      <c r="AA282"/>
      <c r="AB282"/>
    </row>
    <row r="283" s="7" customFormat="1" customHeight="1" spans="1:28">
      <c r="A283" s="8" t="s">
        <v>895</v>
      </c>
      <c r="B283" s="8" t="str">
        <f>_xlfn.DISPIMG("ID_557277A747884DB2848289AE41B281CC",1)</f>
        <v>=DISPIMG("ID_557277A747884DB2848289AE41B281CC",1)</v>
      </c>
      <c r="C283" s="9">
        <v>5.5</v>
      </c>
      <c r="D283" s="9">
        <v>5</v>
      </c>
      <c r="E283" s="9">
        <v>5.5</v>
      </c>
      <c r="F283" s="9">
        <v>5.3</v>
      </c>
      <c r="G283" s="9">
        <v>5.4</v>
      </c>
      <c r="H283" s="9">
        <v>5.2</v>
      </c>
      <c r="I283" s="9">
        <v>5.1</v>
      </c>
      <c r="J283" s="9">
        <v>3.8</v>
      </c>
      <c r="K283" s="9">
        <v>31</v>
      </c>
      <c r="L283" s="9">
        <v>17</v>
      </c>
      <c r="M283" s="9">
        <v>27</v>
      </c>
      <c r="N283" s="9">
        <v>17</v>
      </c>
      <c r="O283" s="9">
        <v>6.9</v>
      </c>
      <c r="P283" s="9">
        <v>8.1</v>
      </c>
      <c r="Q283" s="9">
        <v>470</v>
      </c>
      <c r="R283"/>
      <c r="S283"/>
      <c r="T283"/>
      <c r="U283"/>
      <c r="V283"/>
      <c r="W283"/>
      <c r="X283"/>
      <c r="Y283"/>
      <c r="Z283"/>
      <c r="AA283"/>
      <c r="AB283"/>
    </row>
    <row r="284" s="7" customFormat="1" customHeight="1" spans="1:28">
      <c r="A284" s="10" t="s">
        <v>896</v>
      </c>
      <c r="B284" s="10" t="str">
        <f>_xlfn.DISPIMG("ID_CFE71B19275B481F97A5A86E82707C82",1)</f>
        <v>=DISPIMG("ID_CFE71B19275B481F97A5A86E82707C82",1)</v>
      </c>
      <c r="C284" s="11">
        <v>14.3</v>
      </c>
      <c r="D284" s="11">
        <v>12.8</v>
      </c>
      <c r="E284" s="11">
        <v>13.9</v>
      </c>
      <c r="F284" s="11">
        <v>13.7</v>
      </c>
      <c r="G284" s="11">
        <v>13.6</v>
      </c>
      <c r="H284" s="11">
        <v>13.3</v>
      </c>
      <c r="I284" s="11">
        <v>13.1</v>
      </c>
      <c r="J284" s="11">
        <v>8.6</v>
      </c>
      <c r="K284" s="11">
        <v>67</v>
      </c>
      <c r="L284" s="11">
        <v>39</v>
      </c>
      <c r="M284" s="11">
        <v>60</v>
      </c>
      <c r="N284" s="11">
        <v>37</v>
      </c>
      <c r="O284" s="11">
        <v>18.2</v>
      </c>
      <c r="P284" s="11">
        <v>16.3</v>
      </c>
      <c r="Q284" s="11">
        <v>450</v>
      </c>
      <c r="R284"/>
      <c r="S284"/>
      <c r="T284"/>
      <c r="U284"/>
      <c r="V284"/>
      <c r="W284"/>
      <c r="X284"/>
      <c r="Y284"/>
      <c r="Z284"/>
      <c r="AA284"/>
      <c r="AB284"/>
    </row>
    <row r="285" s="7" customFormat="1" customHeight="1" spans="1:28">
      <c r="A285" s="12" t="s">
        <v>897</v>
      </c>
      <c r="B285" s="12" t="str">
        <f>_xlfn.DISPIMG("ID_1510F340758644BE8AB13C6A3886B4F1",1)</f>
        <v>=DISPIMG("ID_1510F340758644BE8AB13C6A3886B4F1",1)</v>
      </c>
      <c r="C285" s="13">
        <v>3.3</v>
      </c>
      <c r="D285" s="13">
        <v>3</v>
      </c>
      <c r="E285" s="13">
        <v>3.2</v>
      </c>
      <c r="F285" s="13">
        <v>3.1</v>
      </c>
      <c r="G285" s="13">
        <v>3.1</v>
      </c>
      <c r="H285" s="13">
        <v>3</v>
      </c>
      <c r="I285" s="13">
        <v>3</v>
      </c>
      <c r="J285" s="13">
        <v>1.5</v>
      </c>
      <c r="K285" s="13">
        <v>21</v>
      </c>
      <c r="L285" s="13">
        <v>12</v>
      </c>
      <c r="M285" s="13">
        <v>18</v>
      </c>
      <c r="N285" s="13">
        <v>11</v>
      </c>
      <c r="O285" s="13">
        <v>3.6</v>
      </c>
      <c r="P285" s="13">
        <v>5</v>
      </c>
      <c r="Q285" s="13">
        <v>420</v>
      </c>
      <c r="R285"/>
      <c r="S285"/>
      <c r="T285"/>
      <c r="U285"/>
      <c r="V285"/>
      <c r="W285"/>
      <c r="X285"/>
      <c r="Y285"/>
      <c r="Z285"/>
      <c r="AA285"/>
      <c r="AB285"/>
    </row>
    <row r="286" s="7" customFormat="1" customHeight="1" spans="1:28">
      <c r="A286" s="14" t="s">
        <v>898</v>
      </c>
      <c r="B286" s="14" t="str">
        <f>_xlfn.DISPIMG("ID_2744E10FA79843CBA9189ED65321D669",1)</f>
        <v>=DISPIMG("ID_2744E10FA79843CBA9189ED65321D669",1)</v>
      </c>
      <c r="C286" s="15">
        <v>8.3</v>
      </c>
      <c r="D286" s="15">
        <v>7.5</v>
      </c>
      <c r="E286" s="15">
        <v>8</v>
      </c>
      <c r="F286" s="15">
        <v>7.8</v>
      </c>
      <c r="G286" s="15">
        <v>7.9</v>
      </c>
      <c r="H286" s="15">
        <v>7.8</v>
      </c>
      <c r="I286" s="15">
        <v>7.6</v>
      </c>
      <c r="J286" s="15">
        <v>4.7</v>
      </c>
      <c r="K286" s="15">
        <v>40</v>
      </c>
      <c r="L286" s="15">
        <v>23</v>
      </c>
      <c r="M286" s="15">
        <v>36</v>
      </c>
      <c r="N286" s="15">
        <v>22</v>
      </c>
      <c r="O286" s="15">
        <v>11.1</v>
      </c>
      <c r="P286" s="15">
        <v>9.7</v>
      </c>
      <c r="Q286" s="15">
        <v>430</v>
      </c>
      <c r="R286"/>
      <c r="S286"/>
      <c r="T286"/>
      <c r="U286"/>
      <c r="V286"/>
      <c r="W286"/>
      <c r="X286"/>
      <c r="Y286"/>
      <c r="Z286"/>
      <c r="AA286"/>
      <c r="AB286"/>
    </row>
    <row r="287" s="7" customFormat="1" customHeight="1" spans="1:28">
      <c r="A287" s="8" t="s">
        <v>899</v>
      </c>
      <c r="B287" s="8" t="str">
        <f>_xlfn.DISPIMG("ID_6DE69CD6878043468251EC16A4BBD7F6",1)</f>
        <v>=DISPIMG("ID_6DE69CD6878043468251EC16A4BBD7F6",1)</v>
      </c>
      <c r="C287" s="9">
        <v>5.3</v>
      </c>
      <c r="D287" s="9">
        <v>4.6</v>
      </c>
      <c r="E287" s="9">
        <v>5</v>
      </c>
      <c r="F287" s="8"/>
      <c r="G287" s="9">
        <v>4.6</v>
      </c>
      <c r="H287" s="9">
        <v>4.4</v>
      </c>
      <c r="I287" s="9">
        <v>4.6</v>
      </c>
      <c r="J287" s="9">
        <v>4.4</v>
      </c>
      <c r="K287" s="9">
        <v>29</v>
      </c>
      <c r="L287" s="9">
        <v>26</v>
      </c>
      <c r="M287" s="9">
        <v>30</v>
      </c>
      <c r="N287" s="9">
        <v>16</v>
      </c>
      <c r="O287" s="9">
        <v>6</v>
      </c>
      <c r="P287" s="9">
        <v>7.1</v>
      </c>
      <c r="Q287" s="9">
        <v>450</v>
      </c>
      <c r="R287"/>
      <c r="S287"/>
      <c r="T287"/>
      <c r="U287"/>
      <c r="V287"/>
      <c r="W287"/>
      <c r="X287"/>
      <c r="Y287"/>
      <c r="Z287"/>
      <c r="AA287"/>
      <c r="AB287"/>
    </row>
    <row r="288" s="7" customFormat="1" customHeight="1" spans="1:28">
      <c r="A288" s="10" t="s">
        <v>900</v>
      </c>
      <c r="B288" s="10" t="str">
        <f>_xlfn.DISPIMG("ID_301618875FC14340A2039B50372FAC42",1)</f>
        <v>=DISPIMG("ID_301618875FC14340A2039B50372FAC42",1)</v>
      </c>
      <c r="C288" s="11">
        <v>14.7</v>
      </c>
      <c r="D288" s="11">
        <v>12.8</v>
      </c>
      <c r="E288" s="11">
        <v>14.1</v>
      </c>
      <c r="F288" s="11">
        <v>13.3</v>
      </c>
      <c r="G288" s="11">
        <v>12.8</v>
      </c>
      <c r="H288" s="11">
        <v>12.4</v>
      </c>
      <c r="I288" s="11">
        <v>12.8</v>
      </c>
      <c r="J288" s="11">
        <v>12.4</v>
      </c>
      <c r="K288" s="11">
        <v>67</v>
      </c>
      <c r="L288" s="11">
        <v>61</v>
      </c>
      <c r="M288" s="11">
        <v>69</v>
      </c>
      <c r="N288" s="11">
        <v>37</v>
      </c>
      <c r="O288" s="11">
        <v>17.7</v>
      </c>
      <c r="P288" s="11">
        <v>16.4</v>
      </c>
      <c r="Q288" s="11">
        <v>450</v>
      </c>
      <c r="R288"/>
      <c r="S288"/>
      <c r="T288"/>
      <c r="U288"/>
      <c r="V288"/>
      <c r="W288"/>
      <c r="X288"/>
      <c r="Y288"/>
      <c r="Z288"/>
      <c r="AA288"/>
      <c r="AB288"/>
    </row>
    <row r="289" s="7" customFormat="1" customHeight="1" spans="1:28">
      <c r="A289" s="12" t="s">
        <v>901</v>
      </c>
      <c r="B289" s="12" t="str">
        <f>_xlfn.DISPIMG("ID_CB054BF1412E413797AE3F6FD736C827",1)</f>
        <v>=DISPIMG("ID_CB054BF1412E413797AE3F6FD736C827",1)</v>
      </c>
      <c r="C289" s="13">
        <v>3.7</v>
      </c>
      <c r="D289" s="13">
        <v>3.2</v>
      </c>
      <c r="E289" s="13">
        <v>3.5</v>
      </c>
      <c r="F289" s="13">
        <v>3.3</v>
      </c>
      <c r="G289" s="13">
        <v>3.2</v>
      </c>
      <c r="H289" s="13">
        <v>3.1</v>
      </c>
      <c r="I289" s="13">
        <v>3.2</v>
      </c>
      <c r="J289" s="13">
        <v>3.1</v>
      </c>
      <c r="K289" s="13">
        <v>22</v>
      </c>
      <c r="L289" s="13">
        <v>20</v>
      </c>
      <c r="M289" s="13">
        <v>23</v>
      </c>
      <c r="N289" s="13">
        <v>12</v>
      </c>
      <c r="O289" s="13">
        <v>4.1</v>
      </c>
      <c r="P289" s="13">
        <v>5.5</v>
      </c>
      <c r="Q289" s="13">
        <v>450</v>
      </c>
      <c r="R289"/>
      <c r="S289"/>
      <c r="T289"/>
      <c r="U289"/>
      <c r="V289"/>
      <c r="W289"/>
      <c r="X289"/>
      <c r="Y289"/>
      <c r="Z289"/>
      <c r="AA289"/>
      <c r="AB289"/>
    </row>
    <row r="290" s="7" customFormat="1" customHeight="1" spans="1:28">
      <c r="A290" s="14" t="s">
        <v>902</v>
      </c>
      <c r="B290" s="14" t="str">
        <f>_xlfn.DISPIMG("ID_47703E8FBBD8461EA9F91A8EB52F0F4F",1)</f>
        <v>=DISPIMG("ID_47703E8FBBD8461EA9F91A8EB52F0F4F",1)</v>
      </c>
      <c r="C290" s="15">
        <v>8.4</v>
      </c>
      <c r="D290" s="15">
        <v>7.3</v>
      </c>
      <c r="E290" s="15">
        <v>8.1</v>
      </c>
      <c r="F290" s="15">
        <v>7.6</v>
      </c>
      <c r="G290" s="15">
        <v>7.3</v>
      </c>
      <c r="H290" s="15">
        <v>7.1</v>
      </c>
      <c r="I290" s="15">
        <v>7.3</v>
      </c>
      <c r="J290" s="15">
        <v>7.1</v>
      </c>
      <c r="K290" s="15">
        <v>41</v>
      </c>
      <c r="L290" s="15">
        <v>38</v>
      </c>
      <c r="M290" s="15">
        <v>43</v>
      </c>
      <c r="N290" s="15">
        <v>23</v>
      </c>
      <c r="O290" s="15">
        <v>10.9</v>
      </c>
      <c r="P290" s="15">
        <v>10.2</v>
      </c>
      <c r="Q290" s="15">
        <v>450</v>
      </c>
      <c r="R290"/>
      <c r="S290"/>
      <c r="T290"/>
      <c r="U290"/>
      <c r="V290"/>
      <c r="W290"/>
      <c r="X290"/>
      <c r="Y290"/>
      <c r="Z290"/>
      <c r="AA290"/>
      <c r="AB290"/>
    </row>
    <row r="291" s="7" customFormat="1" customHeight="1" spans="1:28">
      <c r="A291" s="8" t="s">
        <v>903</v>
      </c>
      <c r="B291" s="8" t="str">
        <f>_xlfn.DISPIMG("ID_20ABADFD11454411ACBE661C9B477B05",1)</f>
        <v>=DISPIMG("ID_20ABADFD11454411ACBE661C9B477B05",1)</v>
      </c>
      <c r="C291" s="9">
        <v>5.3</v>
      </c>
      <c r="D291" s="9">
        <v>4.2</v>
      </c>
      <c r="E291" s="9">
        <v>5.3</v>
      </c>
      <c r="F291" s="9">
        <v>4.9</v>
      </c>
      <c r="G291" s="9">
        <v>4.8</v>
      </c>
      <c r="H291" s="9">
        <v>4.9</v>
      </c>
      <c r="I291" s="9">
        <v>3.8</v>
      </c>
      <c r="J291" s="9">
        <v>4.6</v>
      </c>
      <c r="K291" s="9">
        <v>31</v>
      </c>
      <c r="L291" s="9">
        <v>28</v>
      </c>
      <c r="M291" s="9">
        <v>29</v>
      </c>
      <c r="N291" s="9">
        <v>21</v>
      </c>
      <c r="O291" s="9">
        <v>6.6</v>
      </c>
      <c r="P291" s="9">
        <v>7.2</v>
      </c>
      <c r="Q291" s="9">
        <v>460</v>
      </c>
      <c r="R291"/>
      <c r="S291"/>
      <c r="T291"/>
      <c r="U291"/>
      <c r="V291"/>
      <c r="W291"/>
      <c r="X291"/>
      <c r="Y291"/>
      <c r="Z291"/>
      <c r="AA291"/>
      <c r="AB291"/>
    </row>
    <row r="292" s="7" customFormat="1" customHeight="1" spans="1:28">
      <c r="A292" s="10" t="s">
        <v>904</v>
      </c>
      <c r="B292" s="10" t="str">
        <f>_xlfn.DISPIMG("ID_48A4F9F548C5435C9E74680C17CB317C",1)</f>
        <v>=DISPIMG("ID_48A4F9F548C5435C9E74680C17CB317C",1)</v>
      </c>
      <c r="C292" s="11">
        <v>14.7</v>
      </c>
      <c r="D292" s="11">
        <v>11.9</v>
      </c>
      <c r="E292" s="11">
        <v>14.1</v>
      </c>
      <c r="F292" s="11">
        <v>14.5</v>
      </c>
      <c r="G292" s="11">
        <v>13.3</v>
      </c>
      <c r="H292" s="11">
        <v>14.1</v>
      </c>
      <c r="I292" s="11">
        <v>10.9</v>
      </c>
      <c r="J292" s="11">
        <v>13</v>
      </c>
      <c r="K292" s="11">
        <v>65</v>
      </c>
      <c r="L292" s="11">
        <v>58</v>
      </c>
      <c r="M292" s="11">
        <v>61</v>
      </c>
      <c r="N292" s="11">
        <v>42</v>
      </c>
      <c r="O292" s="11">
        <v>19.2</v>
      </c>
      <c r="P292" s="11">
        <v>16.8</v>
      </c>
      <c r="Q292" s="11">
        <v>460</v>
      </c>
      <c r="R292"/>
      <c r="S292"/>
      <c r="T292"/>
      <c r="U292"/>
      <c r="V292"/>
      <c r="W292"/>
      <c r="X292"/>
      <c r="Y292"/>
      <c r="Z292"/>
      <c r="AA292"/>
      <c r="AB292"/>
    </row>
    <row r="293" s="7" customFormat="1" customHeight="1" spans="1:28">
      <c r="A293" s="12" t="s">
        <v>905</v>
      </c>
      <c r="B293" s="12" t="str">
        <f>_xlfn.DISPIMG("ID_EE894575524E4AD594FB8902D556968B",1)</f>
        <v>=DISPIMG("ID_EE894575524E4AD594FB8902D556968B",1)</v>
      </c>
      <c r="C293" s="13">
        <v>3.7</v>
      </c>
      <c r="D293" s="13">
        <v>2.9</v>
      </c>
      <c r="E293" s="13">
        <v>3.7</v>
      </c>
      <c r="F293" s="13">
        <v>3.4</v>
      </c>
      <c r="G293" s="13">
        <v>3.3</v>
      </c>
      <c r="H293" s="13">
        <v>3.5</v>
      </c>
      <c r="I293" s="13">
        <v>2.7</v>
      </c>
      <c r="J293" s="13">
        <v>3.2</v>
      </c>
      <c r="K293" s="13">
        <v>24</v>
      </c>
      <c r="L293" s="13">
        <v>22</v>
      </c>
      <c r="M293" s="13">
        <v>23</v>
      </c>
      <c r="N293" s="13">
        <v>17</v>
      </c>
      <c r="O293" s="13">
        <v>4.3</v>
      </c>
      <c r="P293" s="13">
        <v>5.6</v>
      </c>
      <c r="Q293" s="13">
        <v>460</v>
      </c>
      <c r="R293"/>
      <c r="S293"/>
      <c r="T293"/>
      <c r="U293"/>
      <c r="V293"/>
      <c r="W293"/>
      <c r="X293"/>
      <c r="Y293"/>
      <c r="Z293"/>
      <c r="AA293"/>
      <c r="AB293"/>
    </row>
    <row r="294" s="7" customFormat="1" customHeight="1" spans="1:28">
      <c r="A294" s="14" t="s">
        <v>906</v>
      </c>
      <c r="B294" s="14" t="str">
        <f>_xlfn.DISPIMG("ID_183DEE2057674045AA572C25FEB5FC92",1)</f>
        <v>=DISPIMG("ID_183DEE2057674045AA572C25FEB5FC92",1)</v>
      </c>
      <c r="C294" s="15">
        <v>8.4</v>
      </c>
      <c r="D294" s="15">
        <v>6.8</v>
      </c>
      <c r="E294" s="15">
        <v>8.1</v>
      </c>
      <c r="F294" s="15">
        <v>8.3</v>
      </c>
      <c r="G294" s="15">
        <v>7.7</v>
      </c>
      <c r="H294" s="15">
        <v>7.9</v>
      </c>
      <c r="I294" s="15">
        <v>6.2</v>
      </c>
      <c r="J294" s="15">
        <v>7.4</v>
      </c>
      <c r="K294" s="15">
        <v>39</v>
      </c>
      <c r="L294" s="15">
        <v>35</v>
      </c>
      <c r="M294" s="15">
        <v>37</v>
      </c>
      <c r="N294" s="15">
        <v>25</v>
      </c>
      <c r="O294" s="15">
        <v>11.8</v>
      </c>
      <c r="P294" s="15">
        <v>10.4</v>
      </c>
      <c r="Q294" s="15">
        <v>460</v>
      </c>
      <c r="R294"/>
      <c r="S294"/>
      <c r="T294"/>
      <c r="U294"/>
      <c r="V294"/>
      <c r="W294"/>
      <c r="X294"/>
      <c r="Y294"/>
      <c r="Z294"/>
      <c r="AA294"/>
      <c r="AB294"/>
    </row>
    <row r="295" s="7" customFormat="1" customHeight="1" spans="1:28">
      <c r="A295" s="8" t="s">
        <v>907</v>
      </c>
      <c r="B295" s="8" t="str">
        <f>_xlfn.DISPIMG("ID_4A15FDFDE8144AABB41D4F417595715C",1)</f>
        <v>=DISPIMG("ID_4A15FDFDE8144AABB41D4F417595715C",1)</v>
      </c>
      <c r="C295" s="9">
        <v>4.9</v>
      </c>
      <c r="D295" s="9">
        <v>4.9</v>
      </c>
      <c r="E295" s="9">
        <v>4.4</v>
      </c>
      <c r="F295" s="9">
        <v>5.2</v>
      </c>
      <c r="G295" s="9">
        <v>4.7</v>
      </c>
      <c r="H295" s="9">
        <v>4.3</v>
      </c>
      <c r="I295" s="9">
        <v>4.6</v>
      </c>
      <c r="J295" s="9">
        <v>3.9</v>
      </c>
      <c r="K295" s="9">
        <v>28</v>
      </c>
      <c r="L295" s="9">
        <v>26</v>
      </c>
      <c r="M295" s="9">
        <v>26</v>
      </c>
      <c r="N295" s="9">
        <v>20</v>
      </c>
      <c r="O295" s="9">
        <v>6.6</v>
      </c>
      <c r="P295" s="9">
        <v>7.6</v>
      </c>
      <c r="Q295" s="9">
        <v>470</v>
      </c>
      <c r="R295"/>
      <c r="S295"/>
      <c r="T295"/>
      <c r="U295"/>
      <c r="V295"/>
      <c r="W295"/>
      <c r="X295"/>
      <c r="Y295"/>
      <c r="Z295"/>
      <c r="AA295"/>
      <c r="AB295"/>
    </row>
    <row r="296" s="7" customFormat="1" customHeight="1" spans="1:28">
      <c r="A296" s="10" t="s">
        <v>908</v>
      </c>
      <c r="B296" s="10" t="str">
        <f>_xlfn.DISPIMG("ID_9E4C1CD57E174355B910737471821DE4",1)</f>
        <v>=DISPIMG("ID_9E4C1CD57E174355B910737471821DE4",1)</v>
      </c>
      <c r="C296" s="11">
        <v>14.8</v>
      </c>
      <c r="D296" s="11">
        <v>14.8</v>
      </c>
      <c r="E296" s="11">
        <v>13.6</v>
      </c>
      <c r="F296" s="11">
        <v>15.7</v>
      </c>
      <c r="G296" s="11">
        <v>14.4</v>
      </c>
      <c r="H296" s="11">
        <v>13.3</v>
      </c>
      <c r="I296" s="11">
        <v>14.1</v>
      </c>
      <c r="J296" s="11">
        <v>12.2</v>
      </c>
      <c r="K296" s="11">
        <v>66</v>
      </c>
      <c r="L296" s="11">
        <v>62</v>
      </c>
      <c r="M296" s="11">
        <v>62</v>
      </c>
      <c r="N296" s="11">
        <v>47</v>
      </c>
      <c r="O296" s="11">
        <v>20.4</v>
      </c>
      <c r="P296" s="11">
        <v>17.8</v>
      </c>
      <c r="Q296" s="11">
        <v>470</v>
      </c>
      <c r="R296"/>
      <c r="S296"/>
      <c r="T296"/>
      <c r="U296"/>
      <c r="V296"/>
      <c r="W296"/>
      <c r="X296"/>
      <c r="Y296"/>
      <c r="Z296"/>
      <c r="AA296"/>
      <c r="AB296"/>
    </row>
    <row r="297" s="7" customFormat="1" customHeight="1" spans="1:28">
      <c r="A297" s="12" t="s">
        <v>909</v>
      </c>
      <c r="B297" s="12" t="str">
        <f>_xlfn.DISPIMG("ID_08356063EAF9454B9957519F568A401A",1)</f>
        <v>=DISPIMG("ID_08356063EAF9454B9957519F568A401A",1)</v>
      </c>
      <c r="C297" s="13">
        <v>3.8</v>
      </c>
      <c r="D297" s="13">
        <v>3.7</v>
      </c>
      <c r="E297" s="13">
        <v>3.5</v>
      </c>
      <c r="F297" s="13">
        <v>3.9</v>
      </c>
      <c r="G297" s="13">
        <v>3.6</v>
      </c>
      <c r="H297" s="13">
        <v>3.4</v>
      </c>
      <c r="I297" s="13">
        <v>3.6</v>
      </c>
      <c r="J297" s="13">
        <v>3</v>
      </c>
      <c r="K297" s="13">
        <v>22</v>
      </c>
      <c r="L297" s="13">
        <v>21</v>
      </c>
      <c r="M297" s="13">
        <v>21</v>
      </c>
      <c r="N297" s="13">
        <v>15</v>
      </c>
      <c r="O297" s="13">
        <v>4.7</v>
      </c>
      <c r="P297" s="13">
        <v>5.5</v>
      </c>
      <c r="Q297" s="13">
        <v>450</v>
      </c>
      <c r="R297"/>
      <c r="S297"/>
      <c r="T297"/>
      <c r="U297"/>
      <c r="V297"/>
      <c r="W297"/>
      <c r="X297"/>
      <c r="Y297"/>
      <c r="Z297"/>
      <c r="AA297"/>
      <c r="AB297"/>
    </row>
    <row r="298" s="7" customFormat="1" customHeight="1" spans="1:28">
      <c r="A298" s="14" t="s">
        <v>910</v>
      </c>
      <c r="B298" s="14" t="str">
        <f>_xlfn.DISPIMG("ID_54B9839AE0404A10A7415C5BA550A253",1)</f>
        <v>=DISPIMG("ID_54B9839AE0404A10A7415C5BA550A253",1)</v>
      </c>
      <c r="C298" s="15">
        <v>7.7</v>
      </c>
      <c r="D298" s="15">
        <v>7.6</v>
      </c>
      <c r="E298" s="15">
        <v>7</v>
      </c>
      <c r="F298" s="15">
        <v>8</v>
      </c>
      <c r="G298" s="15">
        <v>7.4</v>
      </c>
      <c r="H298" s="15">
        <v>6.9</v>
      </c>
      <c r="I298" s="15">
        <v>7.3</v>
      </c>
      <c r="J298" s="15">
        <v>5.9</v>
      </c>
      <c r="K298" s="15">
        <v>40</v>
      </c>
      <c r="L298" s="15">
        <v>38</v>
      </c>
      <c r="M298" s="15">
        <v>38</v>
      </c>
      <c r="N298" s="15">
        <v>26</v>
      </c>
      <c r="O298" s="15">
        <v>11.6</v>
      </c>
      <c r="P298" s="15">
        <v>10.2</v>
      </c>
      <c r="Q298" s="15">
        <v>450</v>
      </c>
      <c r="R298"/>
      <c r="S298"/>
      <c r="T298"/>
      <c r="U298"/>
      <c r="V298"/>
      <c r="W298"/>
      <c r="X298"/>
      <c r="Y298"/>
      <c r="Z298"/>
      <c r="AA298"/>
      <c r="AB298"/>
    </row>
    <row r="299" s="7" customFormat="1" customHeight="1" spans="1:28">
      <c r="A299" s="8" t="s">
        <v>911</v>
      </c>
      <c r="B299" s="8" t="str">
        <f>_xlfn.DISPIMG("ID_7AEFF779FD014AF18F4C4A3267C2B476",1)</f>
        <v>=DISPIMG("ID_7AEFF779FD014AF18F4C4A3267C2B476",1)</v>
      </c>
      <c r="C299" s="9">
        <v>4.9</v>
      </c>
      <c r="D299" s="9">
        <v>4.4</v>
      </c>
      <c r="E299" s="9">
        <v>6</v>
      </c>
      <c r="F299" s="9">
        <v>4.7</v>
      </c>
      <c r="G299" s="9">
        <v>4.4</v>
      </c>
      <c r="H299" s="9">
        <v>4.5</v>
      </c>
      <c r="I299" s="9">
        <v>4.3</v>
      </c>
      <c r="J299" s="9">
        <v>4.4</v>
      </c>
      <c r="K299" s="9">
        <v>35</v>
      </c>
      <c r="L299" s="9">
        <v>25</v>
      </c>
      <c r="M299" s="9">
        <v>25</v>
      </c>
      <c r="N299" s="9">
        <v>25</v>
      </c>
      <c r="O299" s="9">
        <v>7.2</v>
      </c>
      <c r="P299" s="9">
        <v>7.6</v>
      </c>
      <c r="Q299" s="9">
        <v>470</v>
      </c>
      <c r="R299"/>
      <c r="S299"/>
      <c r="T299"/>
      <c r="U299"/>
      <c r="V299"/>
      <c r="W299"/>
      <c r="X299"/>
      <c r="Y299"/>
      <c r="Z299"/>
      <c r="AA299"/>
      <c r="AB299"/>
    </row>
    <row r="300" s="7" customFormat="1" customHeight="1" spans="1:28">
      <c r="A300" s="10" t="s">
        <v>912</v>
      </c>
      <c r="B300" s="10" t="str">
        <f>_xlfn.DISPIMG("ID_0AF4589F5626414892E0815E0CF3A6D5",1)</f>
        <v>=DISPIMG("ID_0AF4589F5626414892E0815E0CF3A6D5",1)</v>
      </c>
      <c r="C300" s="11">
        <v>14.4</v>
      </c>
      <c r="D300" s="11">
        <v>13</v>
      </c>
      <c r="E300" s="11">
        <v>17.2</v>
      </c>
      <c r="F300" s="11">
        <v>13.6</v>
      </c>
      <c r="G300" s="11">
        <v>13</v>
      </c>
      <c r="H300" s="11">
        <v>13.5</v>
      </c>
      <c r="I300" s="11">
        <v>12.8</v>
      </c>
      <c r="J300" s="11">
        <v>13</v>
      </c>
      <c r="K300" s="11">
        <v>86</v>
      </c>
      <c r="L300" s="11">
        <v>62</v>
      </c>
      <c r="M300" s="11">
        <v>62</v>
      </c>
      <c r="N300" s="11">
        <v>62</v>
      </c>
      <c r="O300" s="11">
        <v>21.5</v>
      </c>
      <c r="P300" s="11">
        <v>18</v>
      </c>
      <c r="Q300" s="11">
        <v>470</v>
      </c>
      <c r="R300"/>
      <c r="S300"/>
      <c r="T300"/>
      <c r="U300"/>
      <c r="V300"/>
      <c r="W300"/>
      <c r="X300"/>
      <c r="Y300"/>
      <c r="Z300"/>
      <c r="AA300"/>
      <c r="AB300"/>
    </row>
    <row r="301" s="7" customFormat="1" customHeight="1" spans="1:28">
      <c r="A301" s="12" t="s">
        <v>913</v>
      </c>
      <c r="B301" s="12" t="str">
        <f>_xlfn.DISPIMG("ID_FCAC383B86E645529C503C7896526E3E",1)</f>
        <v>=DISPIMG("ID_FCAC383B86E645529C503C7896526E3E",1)</v>
      </c>
      <c r="C301" s="13">
        <v>3.7</v>
      </c>
      <c r="D301" s="13">
        <v>3.3</v>
      </c>
      <c r="E301" s="13">
        <v>4.4</v>
      </c>
      <c r="F301" s="13">
        <v>3.5</v>
      </c>
      <c r="G301" s="13">
        <v>3.4</v>
      </c>
      <c r="H301" s="13">
        <v>3.5</v>
      </c>
      <c r="I301" s="13">
        <v>3.3</v>
      </c>
      <c r="J301" s="13">
        <v>3.4</v>
      </c>
      <c r="K301" s="13">
        <v>29</v>
      </c>
      <c r="L301" s="13">
        <v>21</v>
      </c>
      <c r="M301" s="13">
        <v>21</v>
      </c>
      <c r="N301" s="13">
        <v>21</v>
      </c>
      <c r="O301" s="13">
        <v>5.2</v>
      </c>
      <c r="P301" s="13">
        <v>6.1</v>
      </c>
      <c r="Q301" s="13">
        <v>470</v>
      </c>
      <c r="R301"/>
      <c r="S301"/>
      <c r="T301"/>
      <c r="U301"/>
      <c r="V301"/>
      <c r="W301"/>
      <c r="X301"/>
      <c r="Y301"/>
      <c r="Z301"/>
      <c r="AA301"/>
      <c r="AB301"/>
    </row>
    <row r="302" s="7" customFormat="1" customHeight="1" spans="1:28">
      <c r="A302" s="14" t="s">
        <v>914</v>
      </c>
      <c r="B302" s="14" t="str">
        <f>_xlfn.DISPIMG("ID_44A6ADB5E3E44686B1009A0D4C727819",1)</f>
        <v>=DISPIMG("ID_44A6ADB5E3E44686B1009A0D4C727819",1)</v>
      </c>
      <c r="C302" s="15">
        <v>7.9</v>
      </c>
      <c r="D302" s="15">
        <v>7</v>
      </c>
      <c r="E302" s="15">
        <v>9.1</v>
      </c>
      <c r="F302" s="15">
        <v>7.4</v>
      </c>
      <c r="G302" s="15">
        <v>7</v>
      </c>
      <c r="H302" s="15">
        <v>7.2</v>
      </c>
      <c r="I302" s="15">
        <v>6.9</v>
      </c>
      <c r="J302" s="15">
        <v>7</v>
      </c>
      <c r="K302" s="15">
        <v>48</v>
      </c>
      <c r="L302" s="15">
        <v>36</v>
      </c>
      <c r="M302" s="15">
        <v>36</v>
      </c>
      <c r="N302" s="15">
        <v>36</v>
      </c>
      <c r="O302" s="15">
        <v>12.3</v>
      </c>
      <c r="P302" s="15">
        <v>10.3</v>
      </c>
      <c r="Q302" s="15">
        <v>460</v>
      </c>
      <c r="R302"/>
      <c r="S302"/>
      <c r="T302"/>
      <c r="U302"/>
      <c r="V302"/>
      <c r="W302"/>
      <c r="X302"/>
      <c r="Y302"/>
      <c r="Z302"/>
      <c r="AA302"/>
      <c r="AB302"/>
    </row>
    <row r="303" s="7" customFormat="1" customHeight="1" spans="1:28">
      <c r="A303" s="8" t="s">
        <v>915</v>
      </c>
      <c r="B303" s="8" t="str">
        <f>_xlfn.DISPIMG("ID_61B0C7E699414FE2A3231D51518DFA49",1)</f>
        <v>=DISPIMG("ID_61B0C7E699414FE2A3231D51518DFA49",1)</v>
      </c>
      <c r="C303" s="9">
        <v>5.1</v>
      </c>
      <c r="D303" s="9">
        <v>5</v>
      </c>
      <c r="E303" s="9">
        <v>6</v>
      </c>
      <c r="F303" s="9">
        <v>4.8</v>
      </c>
      <c r="G303" s="9">
        <v>4.3</v>
      </c>
      <c r="H303" s="9">
        <v>4.8</v>
      </c>
      <c r="I303" s="9">
        <v>3.4</v>
      </c>
      <c r="J303" s="9">
        <v>4.4</v>
      </c>
      <c r="K303" s="9">
        <v>39</v>
      </c>
      <c r="L303" s="9">
        <v>29</v>
      </c>
      <c r="M303" s="9">
        <v>24</v>
      </c>
      <c r="N303" s="9">
        <v>19</v>
      </c>
      <c r="O303" s="9">
        <v>7.6</v>
      </c>
      <c r="P303" s="9">
        <v>7.5</v>
      </c>
      <c r="Q303" s="9">
        <v>470</v>
      </c>
      <c r="R303"/>
      <c r="S303"/>
      <c r="T303"/>
      <c r="U303"/>
      <c r="V303"/>
      <c r="W303"/>
      <c r="X303"/>
      <c r="Y303"/>
      <c r="Z303"/>
      <c r="AA303"/>
      <c r="AB303"/>
    </row>
    <row r="304" s="7" customFormat="1" customHeight="1" spans="1:28">
      <c r="A304" s="10" t="s">
        <v>916</v>
      </c>
      <c r="B304" s="10" t="str">
        <f>_xlfn.DISPIMG("ID_F93052AE59844B65A9166040612C86F1",1)</f>
        <v>=DISPIMG("ID_F93052AE59844B65A9166040612C86F1",1)</v>
      </c>
      <c r="C304" s="11">
        <v>14.7</v>
      </c>
      <c r="D304" s="11">
        <v>14.3</v>
      </c>
      <c r="E304" s="11">
        <v>13.7</v>
      </c>
      <c r="F304" s="11">
        <v>13.3</v>
      </c>
      <c r="G304" s="11">
        <v>12.2</v>
      </c>
      <c r="H304" s="11">
        <v>13.9</v>
      </c>
      <c r="I304" s="11">
        <v>12.4</v>
      </c>
      <c r="J304" s="11">
        <v>12.8</v>
      </c>
      <c r="K304" s="11">
        <v>97</v>
      </c>
      <c r="L304" s="11">
        <v>74</v>
      </c>
      <c r="M304" s="11">
        <v>62</v>
      </c>
      <c r="N304" s="11">
        <v>50</v>
      </c>
      <c r="O304" s="11">
        <v>19.9</v>
      </c>
      <c r="P304" s="11">
        <v>18.1</v>
      </c>
      <c r="Q304" s="11">
        <v>470</v>
      </c>
      <c r="R304"/>
      <c r="S304"/>
      <c r="T304"/>
      <c r="U304"/>
      <c r="V304"/>
      <c r="W304"/>
      <c r="X304"/>
      <c r="Y304"/>
      <c r="Z304"/>
      <c r="AA304"/>
      <c r="AB304"/>
    </row>
    <row r="305" s="7" customFormat="1" customHeight="1" spans="1:28">
      <c r="A305" s="12" t="s">
        <v>917</v>
      </c>
      <c r="B305" s="12" t="str">
        <f>_xlfn.DISPIMG("ID_9D20C4639E934CC68C6DD2B4B871323B",1)</f>
        <v>=DISPIMG("ID_9D20C4639E934CC68C6DD2B4B871323B",1)</v>
      </c>
      <c r="C305" s="13">
        <v>3.8</v>
      </c>
      <c r="D305" s="13">
        <v>3.6</v>
      </c>
      <c r="E305" s="13">
        <v>3.5</v>
      </c>
      <c r="F305" s="13">
        <v>3.4</v>
      </c>
      <c r="G305" s="13">
        <v>3.1</v>
      </c>
      <c r="H305" s="13">
        <v>3.6</v>
      </c>
      <c r="I305" s="13">
        <v>3.3</v>
      </c>
      <c r="J305" s="13">
        <v>3.4</v>
      </c>
      <c r="K305" s="13">
        <v>33</v>
      </c>
      <c r="L305" s="13">
        <v>25</v>
      </c>
      <c r="M305" s="13">
        <v>22</v>
      </c>
      <c r="N305" s="13">
        <v>17</v>
      </c>
      <c r="O305" s="13">
        <v>4.3</v>
      </c>
      <c r="P305" s="13">
        <v>5.8</v>
      </c>
      <c r="Q305" s="13">
        <v>460</v>
      </c>
      <c r="R305"/>
      <c r="S305"/>
      <c r="T305"/>
      <c r="U305"/>
      <c r="V305"/>
      <c r="W305"/>
      <c r="X305"/>
      <c r="Y305"/>
      <c r="Z305"/>
      <c r="AA305"/>
      <c r="AB305"/>
    </row>
    <row r="306" s="7" customFormat="1" customHeight="1" spans="1:28">
      <c r="A306" s="14" t="s">
        <v>918</v>
      </c>
      <c r="B306" s="14" t="str">
        <f>_xlfn.DISPIMG("ID_DB090B47E7D546F08436562148723DC0",1)</f>
        <v>=DISPIMG("ID_DB090B47E7D546F08436562148723DC0",1)</v>
      </c>
      <c r="C306" s="15">
        <v>8.7</v>
      </c>
      <c r="D306" s="15">
        <v>8.4</v>
      </c>
      <c r="E306" s="15">
        <v>8</v>
      </c>
      <c r="F306" s="15">
        <v>7.8</v>
      </c>
      <c r="G306" s="15">
        <v>7.3</v>
      </c>
      <c r="H306" s="15">
        <v>8.3</v>
      </c>
      <c r="I306" s="15">
        <v>7.4</v>
      </c>
      <c r="J306" s="15">
        <v>7.6</v>
      </c>
      <c r="K306" s="15">
        <v>57</v>
      </c>
      <c r="L306" s="15">
        <v>43</v>
      </c>
      <c r="M306" s="15">
        <v>35</v>
      </c>
      <c r="N306" s="15">
        <v>28</v>
      </c>
      <c r="O306" s="15">
        <v>12.7</v>
      </c>
      <c r="P306" s="15">
        <v>10.9</v>
      </c>
      <c r="Q306" s="15">
        <v>470</v>
      </c>
      <c r="R306"/>
      <c r="S306"/>
      <c r="T306"/>
      <c r="U306"/>
      <c r="V306"/>
      <c r="W306"/>
      <c r="X306"/>
      <c r="Y306"/>
      <c r="Z306"/>
      <c r="AA306"/>
      <c r="AB306"/>
    </row>
    <row r="307" s="7" customFormat="1" customHeight="1" spans="1:28">
      <c r="A307" s="8" t="s">
        <v>919</v>
      </c>
      <c r="B307" s="8" t="str">
        <f>_xlfn.DISPIMG("ID_F88EA46C491147D0ADE1A9606A052DD8",1)</f>
        <v>=DISPIMG("ID_F88EA46C491147D0ADE1A9606A052DD8",1)</v>
      </c>
      <c r="C307" s="9">
        <v>5.4</v>
      </c>
      <c r="D307" s="9">
        <v>4.6</v>
      </c>
      <c r="E307" s="9">
        <v>5.6</v>
      </c>
      <c r="F307" s="9">
        <v>5</v>
      </c>
      <c r="G307" s="9">
        <v>4.3</v>
      </c>
      <c r="H307" s="9">
        <v>4.7</v>
      </c>
      <c r="I307" s="9">
        <v>5.5</v>
      </c>
      <c r="J307" s="9">
        <v>5</v>
      </c>
      <c r="K307" s="9">
        <v>34</v>
      </c>
      <c r="L307" s="9">
        <v>27</v>
      </c>
      <c r="M307" s="9">
        <v>27</v>
      </c>
      <c r="N307" s="9">
        <v>17</v>
      </c>
      <c r="O307" s="9">
        <v>7.4</v>
      </c>
      <c r="P307" s="9">
        <v>7.7</v>
      </c>
      <c r="Q307" s="9">
        <v>460</v>
      </c>
      <c r="R307"/>
      <c r="S307"/>
      <c r="T307"/>
      <c r="U307"/>
      <c r="V307"/>
      <c r="W307"/>
      <c r="X307"/>
      <c r="Y307"/>
      <c r="Z307"/>
      <c r="AA307"/>
      <c r="AB307"/>
    </row>
    <row r="308" s="7" customFormat="1" customHeight="1" spans="1:28">
      <c r="A308" s="10" t="s">
        <v>920</v>
      </c>
      <c r="B308" s="10" t="str">
        <f>_xlfn.DISPIMG("ID_C4805DADBF5B4EC7BEE994A6E1610054",1)</f>
        <v>=DISPIMG("ID_C4805DADBF5B4EC7BEE994A6E1610054",1)</v>
      </c>
      <c r="C308" s="11">
        <v>14.7</v>
      </c>
      <c r="D308" s="11">
        <v>12.8</v>
      </c>
      <c r="E308" s="11">
        <v>15.4</v>
      </c>
      <c r="F308" s="11">
        <v>14.1</v>
      </c>
      <c r="G308" s="11">
        <v>11.4</v>
      </c>
      <c r="H308" s="11">
        <v>12.4</v>
      </c>
      <c r="I308" s="11">
        <v>14.6</v>
      </c>
      <c r="J308" s="11">
        <v>13.1</v>
      </c>
      <c r="K308" s="11">
        <v>74</v>
      </c>
      <c r="L308" s="11">
        <v>57</v>
      </c>
      <c r="M308" s="11">
        <v>57</v>
      </c>
      <c r="N308" s="11">
        <v>33</v>
      </c>
      <c r="O308" s="11">
        <v>20.6</v>
      </c>
      <c r="P308" s="11">
        <v>17.9</v>
      </c>
      <c r="Q308" s="11">
        <v>460</v>
      </c>
      <c r="R308"/>
      <c r="S308"/>
      <c r="T308"/>
      <c r="U308"/>
      <c r="V308"/>
      <c r="W308"/>
      <c r="X308"/>
      <c r="Y308"/>
      <c r="Z308"/>
      <c r="AA308"/>
      <c r="AB308"/>
    </row>
    <row r="309" s="7" customFormat="1" customHeight="1" spans="1:28">
      <c r="A309" s="12" t="s">
        <v>921</v>
      </c>
      <c r="B309" s="12" t="str">
        <f>_xlfn.DISPIMG("ID_B8668CBC62E34C0F972FEAD02C49DD09",1)</f>
        <v>=DISPIMG("ID_B8668CBC62E34C0F972FEAD02C49DD09",1)</v>
      </c>
      <c r="C309" s="13">
        <v>3.8</v>
      </c>
      <c r="D309" s="13">
        <v>3.4</v>
      </c>
      <c r="E309" s="13">
        <v>4.2</v>
      </c>
      <c r="F309" s="13">
        <v>3.7</v>
      </c>
      <c r="G309" s="13">
        <v>3</v>
      </c>
      <c r="H309" s="13">
        <v>3.3</v>
      </c>
      <c r="I309" s="13">
        <v>3.8</v>
      </c>
      <c r="J309" s="13">
        <v>3.4</v>
      </c>
      <c r="K309" s="13">
        <v>29</v>
      </c>
      <c r="L309" s="13">
        <v>22</v>
      </c>
      <c r="M309" s="13">
        <v>22</v>
      </c>
      <c r="N309" s="13">
        <v>14</v>
      </c>
      <c r="O309" s="13">
        <v>4.5</v>
      </c>
      <c r="P309" s="13">
        <v>6</v>
      </c>
      <c r="Q309" s="13">
        <v>470</v>
      </c>
      <c r="R309"/>
      <c r="S309"/>
      <c r="T309"/>
      <c r="U309"/>
      <c r="V309"/>
      <c r="W309"/>
      <c r="X309"/>
      <c r="Y309"/>
      <c r="Z309"/>
      <c r="AA309"/>
      <c r="AB309"/>
    </row>
    <row r="310" s="7" customFormat="1" customHeight="1" spans="1:28">
      <c r="A310" s="14" t="s">
        <v>922</v>
      </c>
      <c r="B310" s="14" t="str">
        <f>_xlfn.DISPIMG("ID_17C27FAFF5AA49C794ABAD08D92106AF",1)</f>
        <v>=DISPIMG("ID_17C27FAFF5AA49C794ABAD08D92106AF",1)</v>
      </c>
      <c r="C310" s="15">
        <v>8.5</v>
      </c>
      <c r="D310" s="15">
        <v>7.4</v>
      </c>
      <c r="E310" s="15">
        <v>9.3</v>
      </c>
      <c r="F310" s="15">
        <v>8.3</v>
      </c>
      <c r="G310" s="15">
        <v>6</v>
      </c>
      <c r="H310" s="15">
        <v>6.6</v>
      </c>
      <c r="I310" s="15">
        <v>7.8</v>
      </c>
      <c r="J310" s="15">
        <v>6.8</v>
      </c>
      <c r="K310" s="15">
        <v>47</v>
      </c>
      <c r="L310" s="15">
        <v>35</v>
      </c>
      <c r="M310" s="15">
        <v>35</v>
      </c>
      <c r="N310" s="15">
        <v>21</v>
      </c>
      <c r="O310" s="15">
        <v>12.8</v>
      </c>
      <c r="P310" s="15">
        <v>11.1</v>
      </c>
      <c r="Q310" s="15">
        <v>470</v>
      </c>
      <c r="R310"/>
      <c r="S310"/>
      <c r="T310"/>
      <c r="U310"/>
      <c r="V310"/>
      <c r="W310"/>
      <c r="X310"/>
      <c r="Y310"/>
      <c r="Z310"/>
      <c r="AA310"/>
      <c r="AB310"/>
    </row>
    <row r="311" s="7" customFormat="1" customHeight="1" spans="1:28">
      <c r="A311" s="8" t="s">
        <v>923</v>
      </c>
      <c r="B311" s="8" t="str">
        <f>_xlfn.DISPIMG("ID_0DF9A63FA1944E1F89E114694CFBE257",1)</f>
        <v>=DISPIMG("ID_0DF9A63FA1944E1F89E114694CFBE257",1)</v>
      </c>
      <c r="C311" s="9">
        <v>5.3</v>
      </c>
      <c r="D311" s="9">
        <v>4.7</v>
      </c>
      <c r="E311" s="9">
        <v>5.2</v>
      </c>
      <c r="F311" s="9">
        <v>5</v>
      </c>
      <c r="G311" s="9">
        <v>4.2</v>
      </c>
      <c r="H311" s="9">
        <v>4.8</v>
      </c>
      <c r="I311" s="9">
        <v>4.5</v>
      </c>
      <c r="J311" s="9">
        <v>5.4</v>
      </c>
      <c r="K311" s="9">
        <v>31</v>
      </c>
      <c r="L311" s="9">
        <v>29</v>
      </c>
      <c r="M311" s="9">
        <v>29</v>
      </c>
      <c r="N311" s="9">
        <v>18</v>
      </c>
      <c r="O311" s="9">
        <v>6</v>
      </c>
      <c r="P311" s="9">
        <v>7.4</v>
      </c>
      <c r="Q311" s="9">
        <v>470</v>
      </c>
      <c r="R311"/>
      <c r="S311"/>
      <c r="T311"/>
      <c r="U311"/>
      <c r="V311"/>
      <c r="W311"/>
      <c r="X311"/>
      <c r="Y311"/>
      <c r="Z311"/>
      <c r="AA311"/>
      <c r="AB311"/>
    </row>
    <row r="312" s="7" customFormat="1" customHeight="1" spans="1:28">
      <c r="A312" s="10" t="s">
        <v>924</v>
      </c>
      <c r="B312" s="10" t="str">
        <f>_xlfn.DISPIMG("ID_0984D27806614451BA32DA0A8D3F507D",1)</f>
        <v>=DISPIMG("ID_0984D27806614451BA32DA0A8D3F507D",1)</v>
      </c>
      <c r="C312" s="11">
        <v>14.5</v>
      </c>
      <c r="D312" s="11">
        <v>13</v>
      </c>
      <c r="E312" s="11">
        <v>14.1</v>
      </c>
      <c r="F312" s="11">
        <v>13.8</v>
      </c>
      <c r="G312" s="11">
        <v>14</v>
      </c>
      <c r="H312" s="11">
        <v>13.8</v>
      </c>
      <c r="I312" s="11">
        <v>14.6</v>
      </c>
      <c r="J312" s="11">
        <v>16</v>
      </c>
      <c r="K312" s="11">
        <v>73</v>
      </c>
      <c r="L312" s="11">
        <v>60</v>
      </c>
      <c r="M312" s="11">
        <v>68</v>
      </c>
      <c r="N312" s="11">
        <v>45</v>
      </c>
      <c r="O312" s="11">
        <v>21.8</v>
      </c>
      <c r="P312" s="11">
        <v>19</v>
      </c>
      <c r="Q312" s="11">
        <v>480</v>
      </c>
      <c r="R312"/>
      <c r="S312"/>
      <c r="T312"/>
      <c r="U312"/>
      <c r="V312"/>
      <c r="W312"/>
      <c r="X312"/>
      <c r="Y312"/>
      <c r="Z312"/>
      <c r="AA312"/>
      <c r="AB312"/>
    </row>
    <row r="313" s="7" customFormat="1" customHeight="1" spans="1:28">
      <c r="A313" s="12" t="s">
        <v>925</v>
      </c>
      <c r="B313" s="12" t="str">
        <f>_xlfn.DISPIMG("ID_52909BC42EE14D63B638939D498807F1",1)</f>
        <v>=DISPIMG("ID_52909BC42EE14D63B638939D498807F1",1)</v>
      </c>
      <c r="C313" s="13">
        <v>3.8</v>
      </c>
      <c r="D313" s="13">
        <v>3.3</v>
      </c>
      <c r="E313" s="13">
        <v>3.7</v>
      </c>
      <c r="F313" s="13">
        <v>3.5</v>
      </c>
      <c r="G313" s="13">
        <v>3.5</v>
      </c>
      <c r="H313" s="13">
        <v>3.9</v>
      </c>
      <c r="I313" s="13">
        <v>3.7</v>
      </c>
      <c r="J313" s="13">
        <v>4.3</v>
      </c>
      <c r="K313" s="13">
        <v>22</v>
      </c>
      <c r="L313" s="13">
        <v>21</v>
      </c>
      <c r="M313" s="13">
        <v>21</v>
      </c>
      <c r="N313" s="13">
        <v>13</v>
      </c>
      <c r="O313" s="13">
        <v>4.9</v>
      </c>
      <c r="P313" s="13">
        <v>6.3</v>
      </c>
      <c r="Q313" s="13">
        <v>470</v>
      </c>
      <c r="R313"/>
      <c r="S313"/>
      <c r="T313"/>
      <c r="U313"/>
      <c r="V313"/>
      <c r="W313"/>
      <c r="X313"/>
      <c r="Y313"/>
      <c r="Z313"/>
      <c r="AA313"/>
      <c r="AB313"/>
    </row>
    <row r="314" s="7" customFormat="1" customHeight="1" spans="1:28">
      <c r="A314" s="14" t="s">
        <v>926</v>
      </c>
      <c r="B314" s="14" t="str">
        <f>_xlfn.DISPIMG("ID_96DE484550C4400A974A9FD9991E1003",1)</f>
        <v>=DISPIMG("ID_96DE484550C4400A974A9FD9991E1003",1)</v>
      </c>
      <c r="C314" s="15">
        <v>8.3</v>
      </c>
      <c r="D314" s="15">
        <v>7.4</v>
      </c>
      <c r="E314" s="15">
        <v>8.1</v>
      </c>
      <c r="F314" s="15">
        <v>7.9</v>
      </c>
      <c r="G314" s="15">
        <v>7.1</v>
      </c>
      <c r="H314" s="15">
        <v>6.9</v>
      </c>
      <c r="I314" s="15">
        <v>7.4</v>
      </c>
      <c r="J314" s="15">
        <v>8</v>
      </c>
      <c r="K314" s="15">
        <v>42</v>
      </c>
      <c r="L314" s="15">
        <v>32</v>
      </c>
      <c r="M314" s="15">
        <v>39</v>
      </c>
      <c r="N314" s="15">
        <v>24</v>
      </c>
      <c r="O314" s="15">
        <v>12</v>
      </c>
      <c r="P314" s="15">
        <v>11</v>
      </c>
      <c r="Q314" s="15">
        <v>470</v>
      </c>
      <c r="R314"/>
      <c r="S314"/>
      <c r="T314"/>
      <c r="U314"/>
      <c r="V314"/>
      <c r="W314"/>
      <c r="X314"/>
      <c r="Y314"/>
      <c r="Z314"/>
      <c r="AA314"/>
      <c r="AB314"/>
    </row>
    <row r="315" s="7" customFormat="1" customHeight="1" spans="1:28">
      <c r="A315" s="8" t="s">
        <v>927</v>
      </c>
      <c r="B315" s="8" t="str">
        <f>_xlfn.DISPIMG("ID_0ACD868CB6DF4A6D92F401E89B46BEA5",1)</f>
        <v>=DISPIMG("ID_0ACD868CB6DF4A6D92F401E89B46BEA5",1)</v>
      </c>
      <c r="C315" s="9">
        <v>6.7</v>
      </c>
      <c r="D315" s="9">
        <v>6.1</v>
      </c>
      <c r="E315" s="9">
        <v>6.7</v>
      </c>
      <c r="F315" s="9">
        <v>6.3</v>
      </c>
      <c r="G315" s="9">
        <v>5</v>
      </c>
      <c r="H315" s="9">
        <v>5.8</v>
      </c>
      <c r="I315" s="9">
        <v>4.6</v>
      </c>
      <c r="J315" s="9">
        <v>5</v>
      </c>
      <c r="K315" s="9">
        <v>31</v>
      </c>
      <c r="L315" s="9">
        <v>30</v>
      </c>
      <c r="M315" s="9">
        <v>30</v>
      </c>
      <c r="N315" s="9">
        <v>26</v>
      </c>
      <c r="O315" s="9">
        <v>10.2</v>
      </c>
      <c r="P315" s="9">
        <v>10.8</v>
      </c>
      <c r="Q315" s="9">
        <v>500</v>
      </c>
      <c r="R315"/>
      <c r="S315"/>
      <c r="T315"/>
      <c r="U315"/>
      <c r="V315"/>
      <c r="W315"/>
      <c r="X315"/>
      <c r="Y315"/>
      <c r="Z315"/>
      <c r="AA315"/>
      <c r="AB315"/>
    </row>
    <row r="316" s="7" customFormat="1" customHeight="1" spans="1:28">
      <c r="A316" s="10" t="s">
        <v>928</v>
      </c>
      <c r="B316" s="10" t="str">
        <f>_xlfn.DISPIMG("ID_2A4910E4945C470284C8E6E8BE9F5FEB",1)</f>
        <v>=DISPIMG("ID_2A4910E4945C470284C8E6E8BE9F5FEB",1)</v>
      </c>
      <c r="C316" s="11">
        <v>18.5</v>
      </c>
      <c r="D316" s="11">
        <v>17</v>
      </c>
      <c r="E316" s="11">
        <v>18.4</v>
      </c>
      <c r="F316" s="11">
        <v>17.5</v>
      </c>
      <c r="G316" s="11">
        <v>14.1</v>
      </c>
      <c r="H316" s="11">
        <v>16.2</v>
      </c>
      <c r="I316" s="11">
        <v>12.8</v>
      </c>
      <c r="J316" s="11">
        <v>14.1</v>
      </c>
      <c r="K316" s="11">
        <v>72</v>
      </c>
      <c r="L316" s="11">
        <v>69</v>
      </c>
      <c r="M316" s="11">
        <v>69</v>
      </c>
      <c r="N316" s="11">
        <v>61</v>
      </c>
      <c r="O316" s="11">
        <v>27.4</v>
      </c>
      <c r="P316" s="11">
        <v>21.6</v>
      </c>
      <c r="Q316" s="11">
        <v>500</v>
      </c>
      <c r="R316"/>
      <c r="S316"/>
      <c r="T316"/>
      <c r="U316"/>
      <c r="V316"/>
      <c r="W316"/>
      <c r="X316"/>
      <c r="Y316"/>
      <c r="Z316"/>
      <c r="AA316"/>
      <c r="AB316"/>
    </row>
    <row r="317" s="7" customFormat="1" customHeight="1" spans="1:28">
      <c r="A317" s="12" t="s">
        <v>929</v>
      </c>
      <c r="B317" s="12" t="str">
        <f>_xlfn.DISPIMG("ID_3C4DF2C1B829481C9F32E0C8298E7003",1)</f>
        <v>=DISPIMG("ID_3C4DF2C1B829481C9F32E0C8298E7003",1)</v>
      </c>
      <c r="C317" s="13">
        <v>4.7</v>
      </c>
      <c r="D317" s="13">
        <v>4.3</v>
      </c>
      <c r="E317" s="13">
        <v>4.6</v>
      </c>
      <c r="F317" s="13">
        <v>4.4</v>
      </c>
      <c r="G317" s="13">
        <v>3.5</v>
      </c>
      <c r="H317" s="13">
        <v>4</v>
      </c>
      <c r="I317" s="13">
        <v>3.2</v>
      </c>
      <c r="J317" s="13">
        <v>3.5</v>
      </c>
      <c r="K317" s="13">
        <v>24</v>
      </c>
      <c r="L317" s="13">
        <v>23</v>
      </c>
      <c r="M317" s="13">
        <v>23</v>
      </c>
      <c r="N317" s="13">
        <v>20</v>
      </c>
      <c r="O317" s="13">
        <v>7.2</v>
      </c>
      <c r="P317" s="13">
        <v>9.1</v>
      </c>
      <c r="Q317" s="13">
        <v>500</v>
      </c>
      <c r="R317"/>
      <c r="S317"/>
      <c r="T317"/>
      <c r="U317"/>
      <c r="V317"/>
      <c r="W317"/>
      <c r="X317"/>
      <c r="Y317"/>
      <c r="Z317"/>
      <c r="AA317"/>
      <c r="AB317"/>
    </row>
    <row r="318" s="7" customFormat="1" customHeight="1" spans="1:28">
      <c r="A318" s="14" t="s">
        <v>930</v>
      </c>
      <c r="B318" s="14" t="str">
        <f>_xlfn.DISPIMG("ID_B5C40A9A2D024529812462F0356CD89D",1)</f>
        <v>=DISPIMG("ID_B5C40A9A2D024529812462F0356CD89D",1)</v>
      </c>
      <c r="C318" s="15">
        <v>10.7</v>
      </c>
      <c r="D318" s="15">
        <v>9.8</v>
      </c>
      <c r="E318" s="15">
        <v>10.6</v>
      </c>
      <c r="F318" s="15">
        <v>10.1</v>
      </c>
      <c r="G318" s="15">
        <v>8.1</v>
      </c>
      <c r="H318" s="15">
        <v>9.3</v>
      </c>
      <c r="I318" s="15">
        <v>7.3</v>
      </c>
      <c r="J318" s="15">
        <v>8.1</v>
      </c>
      <c r="K318" s="15">
        <v>45</v>
      </c>
      <c r="L318" s="15">
        <v>43</v>
      </c>
      <c r="M318" s="15">
        <v>43</v>
      </c>
      <c r="N318" s="15">
        <v>38</v>
      </c>
      <c r="O318" s="15">
        <v>17.6</v>
      </c>
      <c r="P318" s="15">
        <v>15.4</v>
      </c>
      <c r="Q318" s="15">
        <v>500</v>
      </c>
      <c r="R318"/>
      <c r="S318"/>
      <c r="T318"/>
      <c r="U318"/>
      <c r="V318"/>
      <c r="W318"/>
      <c r="X318"/>
      <c r="Y318"/>
      <c r="Z318"/>
      <c r="AA318"/>
      <c r="AB318"/>
    </row>
    <row r="319" s="7" customFormat="1" customHeight="1" spans="1:28">
      <c r="A319" s="8" t="s">
        <v>931</v>
      </c>
      <c r="B319" s="8" t="str">
        <f>_xlfn.DISPIMG("ID_8D7865E1D9E749E98ED3ADCFFED51C52",1)</f>
        <v>=DISPIMG("ID_8D7865E1D9E749E98ED3ADCFFED51C52",1)</v>
      </c>
      <c r="C319" s="9">
        <v>6.8</v>
      </c>
      <c r="D319" s="9">
        <v>7</v>
      </c>
      <c r="E319" s="9">
        <v>6.7</v>
      </c>
      <c r="F319" s="9">
        <v>5.8</v>
      </c>
      <c r="G319" s="9">
        <v>4.7</v>
      </c>
      <c r="H319" s="9">
        <v>4.6</v>
      </c>
      <c r="I319" s="9">
        <v>4.9</v>
      </c>
      <c r="J319" s="9">
        <v>4.9</v>
      </c>
      <c r="K319" s="9">
        <v>27</v>
      </c>
      <c r="L319" s="9">
        <v>27</v>
      </c>
      <c r="M319" s="9">
        <v>27</v>
      </c>
      <c r="N319" s="9">
        <v>24</v>
      </c>
      <c r="O319" s="9">
        <v>9.9</v>
      </c>
      <c r="P319" s="9">
        <v>11.8</v>
      </c>
      <c r="Q319" s="9">
        <v>500</v>
      </c>
      <c r="R319"/>
      <c r="S319"/>
      <c r="T319"/>
      <c r="U319"/>
      <c r="V319"/>
      <c r="W319"/>
      <c r="X319"/>
      <c r="Y319"/>
      <c r="Z319"/>
      <c r="AA319"/>
      <c r="AB319"/>
    </row>
    <row r="320" s="7" customFormat="1" customHeight="1" spans="1:28">
      <c r="A320" s="10" t="s">
        <v>932</v>
      </c>
      <c r="B320" s="10" t="str">
        <f>_xlfn.DISPIMG("ID_2042707EA1E847599294181B190A6694",1)</f>
        <v>=DISPIMG("ID_2042707EA1E847599294181B190A6694",1)</v>
      </c>
      <c r="C320" s="11">
        <v>18.8</v>
      </c>
      <c r="D320" s="11">
        <v>19.2</v>
      </c>
      <c r="E320" s="11">
        <v>18.3</v>
      </c>
      <c r="F320" s="11">
        <v>16</v>
      </c>
      <c r="G320" s="11">
        <v>13.3</v>
      </c>
      <c r="H320" s="11">
        <v>13</v>
      </c>
      <c r="I320" s="11">
        <v>13.8</v>
      </c>
      <c r="J320" s="11">
        <v>13.1</v>
      </c>
      <c r="K320" s="11">
        <v>69</v>
      </c>
      <c r="L320" s="11">
        <v>69</v>
      </c>
      <c r="M320" s="11">
        <v>69</v>
      </c>
      <c r="N320" s="11">
        <v>62</v>
      </c>
      <c r="O320" s="11">
        <v>27.1</v>
      </c>
      <c r="P320" s="11">
        <v>23</v>
      </c>
      <c r="Q320" s="11">
        <v>500</v>
      </c>
      <c r="R320"/>
      <c r="S320"/>
      <c r="T320"/>
      <c r="U320"/>
      <c r="V320"/>
      <c r="W320"/>
      <c r="X320"/>
      <c r="Y320"/>
      <c r="Z320"/>
      <c r="AA320"/>
      <c r="AB320"/>
    </row>
    <row r="321" s="7" customFormat="1" customHeight="1" spans="1:28">
      <c r="A321" s="12" t="s">
        <v>933</v>
      </c>
      <c r="B321" s="12" t="str">
        <f>_xlfn.DISPIMG("ID_11C5E8C31B5A45AD9CCDF30100484FC9",1)</f>
        <v>=DISPIMG("ID_11C5E8C31B5A45AD9CCDF30100484FC9",1)</v>
      </c>
      <c r="C321" s="13">
        <v>4.8</v>
      </c>
      <c r="D321" s="13">
        <v>4.9</v>
      </c>
      <c r="E321" s="13">
        <v>4.6</v>
      </c>
      <c r="F321" s="13">
        <v>4</v>
      </c>
      <c r="G321" s="13">
        <v>3.3</v>
      </c>
      <c r="H321" s="13">
        <v>3.2</v>
      </c>
      <c r="I321" s="13">
        <v>3.4</v>
      </c>
      <c r="J321" s="13">
        <v>3.5</v>
      </c>
      <c r="K321" s="13">
        <v>20</v>
      </c>
      <c r="L321" s="13">
        <v>20</v>
      </c>
      <c r="M321" s="13">
        <v>20</v>
      </c>
      <c r="N321" s="13">
        <v>18</v>
      </c>
      <c r="O321" s="13">
        <v>6.9</v>
      </c>
      <c r="P321" s="13">
        <v>9.4</v>
      </c>
      <c r="Q321" s="13">
        <v>500</v>
      </c>
      <c r="R321"/>
      <c r="S321"/>
      <c r="T321"/>
      <c r="U321"/>
      <c r="V321"/>
      <c r="W321"/>
      <c r="X321"/>
      <c r="Y321"/>
      <c r="Z321"/>
      <c r="AA321"/>
      <c r="AB321"/>
    </row>
    <row r="322" s="7" customFormat="1" customHeight="1" spans="1:28">
      <c r="A322" s="14" t="s">
        <v>934</v>
      </c>
      <c r="B322" s="14" t="str">
        <f>_xlfn.DISPIMG("ID_55A8E5C088B34591B614B647A9199414",1)</f>
        <v>=DISPIMG("ID_55A8E5C088B34591B614B647A9199414",1)</v>
      </c>
      <c r="C322" s="15">
        <v>10.9</v>
      </c>
      <c r="D322" s="15">
        <v>11.1</v>
      </c>
      <c r="E322" s="15">
        <v>10.6</v>
      </c>
      <c r="F322" s="15">
        <v>9.2</v>
      </c>
      <c r="G322" s="15">
        <v>7.6</v>
      </c>
      <c r="H322" s="15">
        <v>7.4</v>
      </c>
      <c r="I322" s="15">
        <v>7.9</v>
      </c>
      <c r="J322" s="15">
        <v>7.6</v>
      </c>
      <c r="K322" s="15">
        <v>43</v>
      </c>
      <c r="L322" s="15">
        <v>43</v>
      </c>
      <c r="M322" s="15">
        <v>43</v>
      </c>
      <c r="N322" s="15">
        <v>39</v>
      </c>
      <c r="O322" s="15">
        <v>17.3</v>
      </c>
      <c r="P322" s="15">
        <v>15.8</v>
      </c>
      <c r="Q322" s="15">
        <v>500</v>
      </c>
      <c r="R322"/>
      <c r="S322"/>
      <c r="T322"/>
      <c r="U322"/>
      <c r="V322"/>
      <c r="W322"/>
      <c r="X322"/>
      <c r="Y322"/>
      <c r="Z322"/>
      <c r="AA322"/>
      <c r="AB322"/>
    </row>
    <row r="323" s="7" customFormat="1" customHeight="1" spans="1:28">
      <c r="A323" s="8" t="s">
        <v>935</v>
      </c>
      <c r="B323" s="8" t="str">
        <f>_xlfn.DISPIMG("ID_33DEBD0E156C4757A13891304322059E",1)</f>
        <v>=DISPIMG("ID_33DEBD0E156C4757A13891304322059E",1)</v>
      </c>
      <c r="C323" s="9">
        <v>3.9</v>
      </c>
      <c r="D323" s="9">
        <v>3.6</v>
      </c>
      <c r="E323" s="9">
        <v>3</v>
      </c>
      <c r="F323" s="9">
        <v>2.8</v>
      </c>
      <c r="G323" s="9">
        <v>4</v>
      </c>
      <c r="H323" s="9">
        <v>3.8</v>
      </c>
      <c r="I323" s="9">
        <v>4.8</v>
      </c>
      <c r="J323" s="9">
        <v>3.8</v>
      </c>
      <c r="K323" s="9">
        <v>22</v>
      </c>
      <c r="L323" s="9">
        <v>26</v>
      </c>
      <c r="M323" s="9">
        <v>22</v>
      </c>
      <c r="N323" s="9">
        <v>24</v>
      </c>
      <c r="O323" s="9">
        <v>1.6</v>
      </c>
      <c r="P323" s="9">
        <v>3.3</v>
      </c>
      <c r="Q323" s="9">
        <v>270</v>
      </c>
      <c r="R323"/>
      <c r="S323"/>
      <c r="T323"/>
      <c r="U323"/>
      <c r="V323"/>
      <c r="W323"/>
      <c r="X323"/>
      <c r="Y323"/>
      <c r="Z323"/>
      <c r="AA323"/>
      <c r="AB323"/>
    </row>
    <row r="324" s="7" customFormat="1" customHeight="1" spans="1:28">
      <c r="A324" s="10" t="s">
        <v>936</v>
      </c>
      <c r="B324" s="10" t="str">
        <f>_xlfn.DISPIMG("ID_66E5ECFA1BD843CC892F303981495D8E",1)</f>
        <v>=DISPIMG("ID_66E5ECFA1BD843CC892F303981495D8E",1)</v>
      </c>
      <c r="C324" s="11">
        <v>10.5</v>
      </c>
      <c r="D324" s="11">
        <v>10.5</v>
      </c>
      <c r="E324" s="11">
        <v>8.2</v>
      </c>
      <c r="F324" s="11">
        <v>8.2</v>
      </c>
      <c r="G324" s="11">
        <v>10.6</v>
      </c>
      <c r="H324" s="11">
        <v>9.9</v>
      </c>
      <c r="I324" s="11">
        <v>12.8</v>
      </c>
      <c r="J324" s="11">
        <v>9.9</v>
      </c>
      <c r="K324" s="11">
        <v>54</v>
      </c>
      <c r="L324" s="11">
        <v>64</v>
      </c>
      <c r="M324" s="11">
        <v>54</v>
      </c>
      <c r="N324" s="11">
        <v>60</v>
      </c>
      <c r="O324" s="11">
        <v>4.2</v>
      </c>
      <c r="P324" s="11">
        <v>7</v>
      </c>
      <c r="Q324" s="11">
        <v>270</v>
      </c>
      <c r="R324"/>
      <c r="S324"/>
      <c r="T324"/>
      <c r="U324"/>
      <c r="V324"/>
      <c r="W324"/>
      <c r="X324"/>
      <c r="Y324"/>
      <c r="Z324"/>
      <c r="AA324"/>
      <c r="AB324"/>
    </row>
    <row r="325" s="7" customFormat="1" customHeight="1" spans="1:28">
      <c r="A325" s="12" t="s">
        <v>937</v>
      </c>
      <c r="B325" s="12" t="str">
        <f>_xlfn.DISPIMG("ID_1A2DC7A1DAE14093B7482ACD9200593F",1)</f>
        <v>=DISPIMG("ID_1A2DC7A1DAE14093B7482ACD9200593F",1)</v>
      </c>
      <c r="C325" s="13">
        <v>2.1</v>
      </c>
      <c r="D325" s="13">
        <v>2.1</v>
      </c>
      <c r="E325" s="13">
        <v>1.5</v>
      </c>
      <c r="F325" s="13">
        <v>1.5</v>
      </c>
      <c r="G325" s="13">
        <v>1.9</v>
      </c>
      <c r="H325" s="13">
        <v>1.7</v>
      </c>
      <c r="I325" s="13">
        <v>2.5</v>
      </c>
      <c r="J325" s="13">
        <v>1.7</v>
      </c>
      <c r="K325" s="13">
        <v>17</v>
      </c>
      <c r="L325" s="13">
        <v>21</v>
      </c>
      <c r="M325" s="13">
        <v>17</v>
      </c>
      <c r="N325" s="13">
        <v>19</v>
      </c>
      <c r="O325" s="13">
        <v>0.2</v>
      </c>
      <c r="P325" s="13">
        <v>2.1</v>
      </c>
      <c r="Q325" s="13">
        <v>260</v>
      </c>
      <c r="R325"/>
      <c r="S325"/>
      <c r="T325"/>
      <c r="U325"/>
      <c r="V325"/>
      <c r="W325"/>
      <c r="X325"/>
      <c r="Y325"/>
      <c r="Z325"/>
      <c r="AA325"/>
      <c r="AB325"/>
    </row>
    <row r="326" s="7" customFormat="1" customHeight="1" spans="1:28">
      <c r="A326" s="14" t="s">
        <v>938</v>
      </c>
      <c r="B326" s="14" t="str">
        <f>_xlfn.DISPIMG("ID_EF8CEFA1553146199FB35AB7B9E2A7D0",1)</f>
        <v>=DISPIMG("ID_EF8CEFA1553146199FB35AB7B9E2A7D0",1)</v>
      </c>
      <c r="C326" s="15">
        <v>5.1</v>
      </c>
      <c r="D326" s="15">
        <v>5.1</v>
      </c>
      <c r="E326" s="15">
        <v>3.7</v>
      </c>
      <c r="F326" s="15">
        <v>3.7</v>
      </c>
      <c r="G326" s="15">
        <v>5</v>
      </c>
      <c r="H326" s="15">
        <v>4.6</v>
      </c>
      <c r="I326" s="15">
        <v>6.4</v>
      </c>
      <c r="J326" s="15">
        <v>4.6</v>
      </c>
      <c r="K326" s="15">
        <v>29</v>
      </c>
      <c r="L326" s="15">
        <v>37</v>
      </c>
      <c r="M326" s="15">
        <v>29</v>
      </c>
      <c r="N326" s="15">
        <v>32</v>
      </c>
      <c r="O326" s="15">
        <v>1.2</v>
      </c>
      <c r="P326" s="15">
        <v>3.5</v>
      </c>
      <c r="Q326" s="15">
        <v>260</v>
      </c>
      <c r="R326"/>
      <c r="S326"/>
      <c r="T326"/>
      <c r="U326"/>
      <c r="V326"/>
      <c r="W326"/>
      <c r="X326"/>
      <c r="Y326"/>
      <c r="Z326"/>
      <c r="AA326"/>
      <c r="AB326"/>
    </row>
    <row r="327" s="7" customFormat="1" customHeight="1" spans="1:28">
      <c r="A327" s="8" t="s">
        <v>939</v>
      </c>
      <c r="B327" s="8" t="str">
        <f>_xlfn.DISPIMG("ID_34BDFBF579DC4BA8896A5CD9D83A051A",1)</f>
        <v>=DISPIMG("ID_34BDFBF579DC4BA8896A5CD9D83A051A",1)</v>
      </c>
      <c r="C327" s="9">
        <v>4.3</v>
      </c>
      <c r="D327" s="9">
        <v>3.7</v>
      </c>
      <c r="E327" s="9">
        <v>4.7</v>
      </c>
      <c r="F327" s="9">
        <v>3.9</v>
      </c>
      <c r="G327" s="9">
        <v>3.7</v>
      </c>
      <c r="H327" s="9">
        <v>4.1</v>
      </c>
      <c r="I327" s="9">
        <v>2.2</v>
      </c>
      <c r="J327" s="9">
        <v>3.9</v>
      </c>
      <c r="K327" s="9">
        <v>26</v>
      </c>
      <c r="L327" s="9">
        <v>19</v>
      </c>
      <c r="M327" s="9">
        <v>19</v>
      </c>
      <c r="N327" s="9">
        <v>12</v>
      </c>
      <c r="O327" s="9">
        <v>6</v>
      </c>
      <c r="P327" s="9">
        <v>5.9</v>
      </c>
      <c r="Q327" s="9">
        <v>410</v>
      </c>
      <c r="R327"/>
      <c r="S327"/>
      <c r="T327"/>
      <c r="U327"/>
      <c r="V327"/>
      <c r="W327"/>
      <c r="X327"/>
      <c r="Y327"/>
      <c r="Z327"/>
      <c r="AA327"/>
      <c r="AB327"/>
    </row>
    <row r="328" s="7" customFormat="1" customHeight="1" spans="1:28">
      <c r="A328" s="10" t="s">
        <v>940</v>
      </c>
      <c r="B328" s="10" t="str">
        <f>_xlfn.DISPIMG("ID_DCA4FA99FE044B5FB35DE229E6E4F227",1)</f>
        <v>=DISPIMG("ID_DCA4FA99FE044B5FB35DE229E6E4F227",1)</v>
      </c>
      <c r="C328" s="11">
        <v>12.7</v>
      </c>
      <c r="D328" s="11">
        <v>9.8</v>
      </c>
      <c r="E328" s="11">
        <v>13.6</v>
      </c>
      <c r="F328" s="11">
        <v>10.5</v>
      </c>
      <c r="G328" s="11">
        <v>11.2</v>
      </c>
      <c r="H328" s="11">
        <v>11.2</v>
      </c>
      <c r="I328" s="11">
        <v>7.4</v>
      </c>
      <c r="J328" s="11">
        <v>9.1</v>
      </c>
      <c r="K328" s="11">
        <v>51</v>
      </c>
      <c r="L328" s="11">
        <v>33</v>
      </c>
      <c r="M328" s="11">
        <v>37</v>
      </c>
      <c r="N328" s="11">
        <v>26</v>
      </c>
      <c r="O328" s="11">
        <v>11.3</v>
      </c>
      <c r="P328" s="11">
        <v>10.6</v>
      </c>
      <c r="Q328" s="11">
        <v>370</v>
      </c>
      <c r="R328"/>
      <c r="S328"/>
      <c r="T328"/>
      <c r="U328"/>
      <c r="V328"/>
      <c r="W328"/>
      <c r="X328"/>
      <c r="Y328"/>
      <c r="Z328"/>
      <c r="AA328"/>
      <c r="AB328"/>
    </row>
    <row r="329" s="7" customFormat="1" customHeight="1" spans="1:28">
      <c r="A329" s="12" t="s">
        <v>941</v>
      </c>
      <c r="B329" s="12" t="str">
        <f>_xlfn.DISPIMG("ID_4FEBB6D8055A453E8F1D95A35E2A02EE",1)</f>
        <v>=DISPIMG("ID_4FEBB6D8055A453E8F1D95A35E2A02EE",1)</v>
      </c>
      <c r="C329" s="13">
        <v>3.2</v>
      </c>
      <c r="D329" s="13">
        <v>2.4</v>
      </c>
      <c r="E329" s="13">
        <v>3.5</v>
      </c>
      <c r="F329" s="13">
        <v>2.6</v>
      </c>
      <c r="G329" s="13">
        <v>2.8</v>
      </c>
      <c r="H329" s="13">
        <v>2.8</v>
      </c>
      <c r="I329" s="13">
        <v>1.7</v>
      </c>
      <c r="J329" s="13">
        <v>2.2</v>
      </c>
      <c r="K329" s="13">
        <v>18</v>
      </c>
      <c r="L329" s="13">
        <v>13</v>
      </c>
      <c r="M329" s="13">
        <v>14</v>
      </c>
      <c r="N329" s="13">
        <v>11</v>
      </c>
      <c r="O329" s="13">
        <v>2.5</v>
      </c>
      <c r="P329" s="13">
        <v>3.3</v>
      </c>
      <c r="Q329" s="13">
        <v>360</v>
      </c>
      <c r="R329"/>
      <c r="S329"/>
      <c r="T329"/>
      <c r="U329"/>
      <c r="V329"/>
      <c r="W329"/>
      <c r="X329"/>
      <c r="Y329"/>
      <c r="Z329"/>
      <c r="AA329"/>
      <c r="AB329"/>
    </row>
    <row r="330" s="7" customFormat="1" customHeight="1" spans="1:28">
      <c r="A330" s="14" t="s">
        <v>942</v>
      </c>
      <c r="B330" s="14" t="str">
        <f>_xlfn.DISPIMG("ID_A853B108AA64406B8132A62DB97A5B75",1)</f>
        <v>=DISPIMG("ID_A853B108AA64406B8132A62DB97A5B75",1)</v>
      </c>
      <c r="C330" s="15">
        <v>6.5</v>
      </c>
      <c r="D330" s="15">
        <v>4.7</v>
      </c>
      <c r="E330" s="15">
        <v>7.1</v>
      </c>
      <c r="F330" s="15">
        <v>5.1</v>
      </c>
      <c r="G330" s="15">
        <v>5.5</v>
      </c>
      <c r="H330" s="15">
        <v>5.5</v>
      </c>
      <c r="I330" s="15">
        <v>2.9</v>
      </c>
      <c r="J330" s="15">
        <v>4.2</v>
      </c>
      <c r="K330" s="15">
        <v>32</v>
      </c>
      <c r="L330" s="15">
        <v>23</v>
      </c>
      <c r="M330" s="15">
        <v>25</v>
      </c>
      <c r="N330" s="15">
        <v>18</v>
      </c>
      <c r="O330" s="15">
        <v>5.8</v>
      </c>
      <c r="P330" s="15">
        <v>5.9</v>
      </c>
      <c r="Q330" s="15">
        <v>360</v>
      </c>
      <c r="R330"/>
      <c r="S330"/>
      <c r="T330"/>
      <c r="U330"/>
      <c r="V330"/>
      <c r="W330"/>
      <c r="X330"/>
      <c r="Y330"/>
      <c r="Z330"/>
      <c r="AA330"/>
      <c r="AB330"/>
    </row>
    <row r="331" s="7" customFormat="1" customHeight="1" spans="1:28">
      <c r="A331" s="8" t="s">
        <v>943</v>
      </c>
      <c r="B331" s="8" t="str">
        <f>_xlfn.DISPIMG("ID_A10B1F021A9B4D3B85B9F714D2AE1931",1)</f>
        <v>=DISPIMG("ID_A10B1F021A9B4D3B85B9F714D2AE1931",1)</v>
      </c>
      <c r="C331" s="9">
        <v>3.1</v>
      </c>
      <c r="D331" s="9">
        <v>3.1</v>
      </c>
      <c r="E331" s="9">
        <v>3.1</v>
      </c>
      <c r="F331" s="9">
        <v>2.8</v>
      </c>
      <c r="G331" s="9">
        <v>3.9</v>
      </c>
      <c r="H331" s="9">
        <v>4.3</v>
      </c>
      <c r="I331" s="9">
        <v>4.5</v>
      </c>
      <c r="J331" s="9">
        <v>4.9</v>
      </c>
      <c r="K331" s="9">
        <v>18</v>
      </c>
      <c r="L331" s="9">
        <v>29</v>
      </c>
      <c r="M331" s="9">
        <v>27</v>
      </c>
      <c r="N331" s="9">
        <v>37</v>
      </c>
      <c r="O331" s="9">
        <v>1.8</v>
      </c>
      <c r="P331" s="9">
        <v>3.4</v>
      </c>
      <c r="Q331" s="9">
        <v>270</v>
      </c>
      <c r="R331"/>
      <c r="S331"/>
      <c r="T331"/>
      <c r="U331"/>
      <c r="V331"/>
      <c r="W331"/>
      <c r="X331"/>
      <c r="Y331"/>
      <c r="Z331"/>
      <c r="AA331"/>
      <c r="AB331"/>
    </row>
    <row r="332" s="7" customFormat="1" customHeight="1" spans="1:28">
      <c r="A332" s="10" t="s">
        <v>944</v>
      </c>
      <c r="B332" s="10" t="str">
        <f>_xlfn.DISPIMG("ID_E54E900B98A046A7A8D74235B36F9B09",1)</f>
        <v>=DISPIMG("ID_E54E900B98A046A7A8D74235B36F9B09",1)</v>
      </c>
      <c r="C332" s="11">
        <v>9.3</v>
      </c>
      <c r="D332" s="11">
        <v>8.6</v>
      </c>
      <c r="E332" s="11">
        <v>7.7</v>
      </c>
      <c r="F332" s="11">
        <v>5.5</v>
      </c>
      <c r="G332" s="11">
        <v>9.7</v>
      </c>
      <c r="H332" s="11">
        <v>7.5</v>
      </c>
      <c r="I332" s="11">
        <v>10.9</v>
      </c>
      <c r="J332" s="11">
        <v>9.7</v>
      </c>
      <c r="K332" s="11">
        <v>42</v>
      </c>
      <c r="L332" s="11">
        <v>62</v>
      </c>
      <c r="M332" s="11">
        <v>66</v>
      </c>
      <c r="N332" s="11">
        <v>45</v>
      </c>
      <c r="O332" s="11">
        <v>0.8</v>
      </c>
      <c r="P332" s="11">
        <v>5.1</v>
      </c>
      <c r="Q332" s="11">
        <v>250</v>
      </c>
      <c r="R332"/>
      <c r="S332"/>
      <c r="T332"/>
      <c r="U332"/>
      <c r="V332"/>
      <c r="W332"/>
      <c r="X332"/>
      <c r="Y332"/>
      <c r="Z332"/>
      <c r="AA332"/>
      <c r="AB332"/>
    </row>
    <row r="333" s="7" customFormat="1" customHeight="1" spans="1:28">
      <c r="A333" s="12" t="s">
        <v>945</v>
      </c>
      <c r="B333" s="12" t="str">
        <f>_xlfn.DISPIMG("ID_D0747904E3C3470EBF9F9791013DFE2B",1)</f>
        <v>=DISPIMG("ID_D0747904E3C3470EBF9F9791013DFE2B",1)</v>
      </c>
      <c r="C333" s="13">
        <v>2.1</v>
      </c>
      <c r="D333" s="13">
        <v>1.9</v>
      </c>
      <c r="E333" s="13">
        <v>1.7</v>
      </c>
      <c r="F333" s="13">
        <v>1.1</v>
      </c>
      <c r="G333" s="13">
        <v>2</v>
      </c>
      <c r="H333" s="13">
        <v>1.4</v>
      </c>
      <c r="I333" s="13">
        <v>2.3</v>
      </c>
      <c r="J333" s="13">
        <v>2</v>
      </c>
      <c r="K333" s="13">
        <v>13</v>
      </c>
      <c r="L333" s="13">
        <v>19</v>
      </c>
      <c r="M333" s="13">
        <v>21</v>
      </c>
      <c r="N333" s="13">
        <v>14</v>
      </c>
      <c r="O333" s="13">
        <v>0.3</v>
      </c>
      <c r="P333" s="13">
        <v>1.7</v>
      </c>
      <c r="Q333" s="13">
        <v>250</v>
      </c>
      <c r="R333"/>
      <c r="S333"/>
      <c r="T333"/>
      <c r="U333"/>
      <c r="V333"/>
      <c r="W333"/>
      <c r="X333"/>
      <c r="Y333"/>
      <c r="Z333"/>
      <c r="AA333"/>
      <c r="AB333"/>
    </row>
    <row r="334" s="7" customFormat="1" customHeight="1" spans="1:28">
      <c r="A334" s="14" t="s">
        <v>946</v>
      </c>
      <c r="B334" s="14" t="str">
        <f>_xlfn.DISPIMG("ID_2F49298694BA4B5C9532D72CC73C3EFC",1)</f>
        <v>=DISPIMG("ID_2F49298694BA4B5C9532D72CC73C3EFC",1)</v>
      </c>
      <c r="C334" s="15">
        <v>4.7</v>
      </c>
      <c r="D334" s="15">
        <v>5.2</v>
      </c>
      <c r="E334" s="15">
        <v>5.2</v>
      </c>
      <c r="F334" s="15">
        <v>5.2</v>
      </c>
      <c r="G334" s="15">
        <v>6.3</v>
      </c>
      <c r="H334" s="15">
        <v>5</v>
      </c>
      <c r="I334" s="15">
        <v>7</v>
      </c>
      <c r="J334" s="15">
        <v>6.3</v>
      </c>
      <c r="K334" s="15">
        <v>24</v>
      </c>
      <c r="L334" s="15">
        <v>37</v>
      </c>
      <c r="M334" s="15">
        <v>39</v>
      </c>
      <c r="N334" s="15">
        <v>26</v>
      </c>
      <c r="O334" s="15">
        <v>1.3</v>
      </c>
      <c r="P334" s="15">
        <v>4.2</v>
      </c>
      <c r="Q334" s="15">
        <v>250</v>
      </c>
      <c r="R334"/>
      <c r="S334"/>
      <c r="T334"/>
      <c r="U334"/>
      <c r="V334"/>
      <c r="W334"/>
      <c r="X334"/>
      <c r="Y334"/>
      <c r="Z334"/>
      <c r="AA334"/>
      <c r="AB334"/>
    </row>
    <row r="335" s="7" customFormat="1" customHeight="1" spans="1:28">
      <c r="A335" s="8" t="s">
        <v>947</v>
      </c>
      <c r="B335" s="8" t="str">
        <f>_xlfn.DISPIMG("ID_F74AA9AC40EE451E9D0ED5BD20B00238",1)</f>
        <v>=DISPIMG("ID_F74AA9AC40EE451E9D0ED5BD20B00238",1)</v>
      </c>
      <c r="C335" s="9">
        <v>2.6</v>
      </c>
      <c r="D335" s="9">
        <v>4.2</v>
      </c>
      <c r="E335" s="9">
        <v>4</v>
      </c>
      <c r="F335" s="9">
        <v>4</v>
      </c>
      <c r="G335" s="9">
        <v>4.6</v>
      </c>
      <c r="H335" s="9">
        <v>3.8</v>
      </c>
      <c r="I335" s="9">
        <v>4</v>
      </c>
      <c r="J335" s="9">
        <v>2.9</v>
      </c>
      <c r="K335" s="9">
        <v>17</v>
      </c>
      <c r="L335" s="9">
        <v>28</v>
      </c>
      <c r="M335" s="9">
        <v>24</v>
      </c>
      <c r="N335" s="9">
        <v>29</v>
      </c>
      <c r="O335" s="9">
        <v>2.6</v>
      </c>
      <c r="P335" s="9">
        <v>3.5</v>
      </c>
      <c r="Q335" s="9">
        <v>280</v>
      </c>
      <c r="R335"/>
      <c r="S335"/>
      <c r="T335"/>
      <c r="U335"/>
      <c r="V335"/>
      <c r="W335"/>
      <c r="X335"/>
      <c r="Y335"/>
      <c r="Z335"/>
      <c r="AA335"/>
      <c r="AB335"/>
    </row>
    <row r="336" s="7" customFormat="1" customHeight="1" spans="1:28">
      <c r="A336" s="10" t="s">
        <v>948</v>
      </c>
      <c r="B336" s="10" t="str">
        <f>_xlfn.DISPIMG("ID_F8FEFB2D035642178E347BF0E5B72808",1)</f>
        <v>=DISPIMG("ID_F8FEFB2D035642178E347BF0E5B72808",1)</v>
      </c>
      <c r="C336" s="11">
        <v>18.3</v>
      </c>
      <c r="D336" s="11">
        <v>16.7</v>
      </c>
      <c r="E336" s="11">
        <v>18.6</v>
      </c>
      <c r="F336" s="11">
        <v>18.3</v>
      </c>
      <c r="G336" s="11">
        <v>12.6</v>
      </c>
      <c r="H336" s="11">
        <v>12.7</v>
      </c>
      <c r="I336" s="11">
        <v>12.2</v>
      </c>
      <c r="J336" s="11">
        <v>13.6</v>
      </c>
      <c r="K336" s="11">
        <v>68</v>
      </c>
      <c r="L336" s="11">
        <v>62</v>
      </c>
      <c r="M336" s="11">
        <v>61</v>
      </c>
      <c r="N336" s="11">
        <v>60</v>
      </c>
      <c r="O336" s="11">
        <v>20.7</v>
      </c>
      <c r="P336" s="11">
        <v>17.2</v>
      </c>
      <c r="Q336" s="11">
        <v>470</v>
      </c>
      <c r="R336"/>
      <c r="S336"/>
      <c r="T336"/>
      <c r="U336"/>
      <c r="V336"/>
      <c r="W336"/>
      <c r="X336"/>
      <c r="Y336"/>
      <c r="Z336"/>
      <c r="AA336"/>
      <c r="AB336"/>
    </row>
    <row r="337" s="7" customFormat="1" customHeight="1" spans="1:28">
      <c r="A337" s="12" t="s">
        <v>949</v>
      </c>
      <c r="B337" s="12" t="str">
        <f>_xlfn.DISPIMG("ID_5D74147C3EBB4FB8A4BD7B5AA2FE0F79",1)</f>
        <v>=DISPIMG("ID_5D74147C3EBB4FB8A4BD7B5AA2FE0F79",1)</v>
      </c>
      <c r="C337" s="13">
        <v>1.9</v>
      </c>
      <c r="D337" s="13">
        <v>2.2</v>
      </c>
      <c r="E337" s="13">
        <v>2.1</v>
      </c>
      <c r="F337" s="13">
        <v>2.1</v>
      </c>
      <c r="G337" s="13">
        <v>1.7</v>
      </c>
      <c r="H337" s="13">
        <v>1.7</v>
      </c>
      <c r="I337" s="13">
        <v>2.1</v>
      </c>
      <c r="J337" s="13">
        <v>2.4</v>
      </c>
      <c r="K337" s="13">
        <v>10</v>
      </c>
      <c r="L337" s="13">
        <v>19</v>
      </c>
      <c r="M337" s="13">
        <v>15</v>
      </c>
      <c r="N337" s="13">
        <v>19</v>
      </c>
      <c r="O337" s="13">
        <v>0.5</v>
      </c>
      <c r="P337" s="13">
        <v>1.9</v>
      </c>
      <c r="Q337" s="13">
        <v>260</v>
      </c>
      <c r="R337"/>
      <c r="S337"/>
      <c r="T337"/>
      <c r="U337"/>
      <c r="V337"/>
      <c r="W337"/>
      <c r="X337"/>
      <c r="Y337"/>
      <c r="Z337"/>
      <c r="AA337"/>
      <c r="AB337"/>
    </row>
    <row r="338" s="7" customFormat="1" customHeight="1" spans="1:28">
      <c r="A338" s="14" t="s">
        <v>950</v>
      </c>
      <c r="B338" s="14" t="str">
        <f>_xlfn.DISPIMG("ID_3FAF7080DD6F42D1900C2210A21AC9B3",1)</f>
        <v>=DISPIMG("ID_3FAF7080DD6F42D1900C2210A21AC9B3",1)</v>
      </c>
      <c r="C338" s="15">
        <v>11</v>
      </c>
      <c r="D338" s="15">
        <v>10</v>
      </c>
      <c r="E338" s="15">
        <v>11.1</v>
      </c>
      <c r="F338" s="15">
        <v>11</v>
      </c>
      <c r="G338" s="15">
        <v>7.6</v>
      </c>
      <c r="H338" s="15">
        <v>7.7</v>
      </c>
      <c r="I338" s="15">
        <v>7.3</v>
      </c>
      <c r="J338" s="15">
        <v>8.1</v>
      </c>
      <c r="K338" s="15">
        <v>40</v>
      </c>
      <c r="L338" s="15">
        <v>37</v>
      </c>
      <c r="M338" s="15">
        <v>36</v>
      </c>
      <c r="N338" s="15">
        <v>35</v>
      </c>
      <c r="O338" s="15">
        <v>12.9</v>
      </c>
      <c r="P338" s="15">
        <v>10.8</v>
      </c>
      <c r="Q338" s="15">
        <v>470</v>
      </c>
      <c r="R338"/>
      <c r="S338"/>
      <c r="T338"/>
      <c r="U338"/>
      <c r="V338"/>
      <c r="W338"/>
      <c r="X338"/>
      <c r="Y338"/>
      <c r="Z338"/>
      <c r="AA338"/>
      <c r="AB338"/>
    </row>
    <row r="339" customHeight="1" spans="1:17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</row>
    <row r="340" customHeight="1" spans="1:17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</row>
    <row r="341" s="7" customFormat="1" customHeight="1" spans="1:28">
      <c r="A341" s="8" t="s">
        <v>951</v>
      </c>
      <c r="B341" s="8" t="str">
        <f>_xlfn.DISPIMG("ID_6D28AD75807C4DFCA6240FAAC5448FF5",1)</f>
        <v>=DISPIMG("ID_6D28AD75807C4DFCA6240FAAC5448FF5",1)</v>
      </c>
      <c r="C341" s="9">
        <v>2</v>
      </c>
      <c r="D341" s="9">
        <v>1.4</v>
      </c>
      <c r="E341" s="9">
        <v>2.8</v>
      </c>
      <c r="F341" s="9">
        <v>1</v>
      </c>
      <c r="G341" s="9">
        <v>5.2</v>
      </c>
      <c r="H341" s="9">
        <v>4</v>
      </c>
      <c r="I341" s="9">
        <v>4.6</v>
      </c>
      <c r="J341" s="9">
        <v>4.5</v>
      </c>
      <c r="K341" s="9">
        <v>9</v>
      </c>
      <c r="L341" s="9">
        <v>19</v>
      </c>
      <c r="M341" s="9">
        <v>21</v>
      </c>
      <c r="N341" s="9">
        <v>32</v>
      </c>
      <c r="O341" s="9">
        <v>0.4</v>
      </c>
      <c r="P341" s="9">
        <v>1.9</v>
      </c>
      <c r="Q341" s="9">
        <v>230</v>
      </c>
      <c r="R341"/>
      <c r="S341"/>
      <c r="T341"/>
      <c r="U341"/>
      <c r="V341"/>
      <c r="W341"/>
      <c r="X341"/>
      <c r="Y341"/>
      <c r="Z341"/>
      <c r="AA341"/>
      <c r="AB341"/>
    </row>
    <row r="342" s="7" customFormat="1" customHeight="1" spans="1:28">
      <c r="A342" s="10" t="s">
        <v>952</v>
      </c>
      <c r="B342" s="10" t="str">
        <f>_xlfn.DISPIMG("ID_B104BBB7B8D54644A1106E4879988A18",1)</f>
        <v>=DISPIMG("ID_B104BBB7B8D54644A1106E4879988A18",1)</v>
      </c>
      <c r="C342" s="11">
        <v>5.7</v>
      </c>
      <c r="D342" s="11">
        <v>3.9</v>
      </c>
      <c r="E342" s="11">
        <v>8</v>
      </c>
      <c r="F342" s="11">
        <v>2.9</v>
      </c>
      <c r="G342" s="11">
        <v>14.5</v>
      </c>
      <c r="H342" s="11">
        <v>11.4</v>
      </c>
      <c r="I342" s="11">
        <v>12.6</v>
      </c>
      <c r="J342" s="11">
        <v>12.6</v>
      </c>
      <c r="K342" s="11">
        <v>20</v>
      </c>
      <c r="L342" s="11">
        <v>53</v>
      </c>
      <c r="M342" s="11">
        <v>48</v>
      </c>
      <c r="N342" s="11">
        <v>69</v>
      </c>
      <c r="O342" s="11">
        <v>2.7</v>
      </c>
      <c r="P342" s="11">
        <v>4.4</v>
      </c>
      <c r="Q342" s="11">
        <v>230</v>
      </c>
      <c r="R342"/>
      <c r="S342"/>
      <c r="T342"/>
      <c r="U342"/>
      <c r="V342"/>
      <c r="W342"/>
      <c r="X342"/>
      <c r="Y342"/>
      <c r="Z342"/>
      <c r="AA342"/>
      <c r="AB342"/>
    </row>
    <row r="343" s="7" customFormat="1" customHeight="1" spans="1:28">
      <c r="A343" s="14" t="s">
        <v>953</v>
      </c>
      <c r="B343" s="14" t="str">
        <f>_xlfn.DISPIMG("ID_5C7BD4FCD64B45AD84A007F622AA419D",1)</f>
        <v>=DISPIMG("ID_5C7BD4FCD64B45AD84A007F622AA419D",1)</v>
      </c>
      <c r="C343" s="15">
        <v>3.2</v>
      </c>
      <c r="D343" s="15">
        <v>2.2</v>
      </c>
      <c r="E343" s="15">
        <v>4.5</v>
      </c>
      <c r="F343" s="15">
        <v>1.6</v>
      </c>
      <c r="G343" s="15">
        <v>8.3</v>
      </c>
      <c r="H343" s="15">
        <v>6.5</v>
      </c>
      <c r="I343" s="15">
        <v>7.2</v>
      </c>
      <c r="J343" s="15">
        <v>7.2</v>
      </c>
      <c r="K343" s="15">
        <v>12</v>
      </c>
      <c r="L343" s="15">
        <v>33</v>
      </c>
      <c r="M343" s="15">
        <v>30</v>
      </c>
      <c r="N343" s="15">
        <v>43</v>
      </c>
      <c r="O343" s="15">
        <v>1.6</v>
      </c>
      <c r="P343" s="15">
        <v>2.8</v>
      </c>
      <c r="Q343" s="15">
        <v>230</v>
      </c>
      <c r="R343"/>
      <c r="S343"/>
      <c r="T343"/>
      <c r="U343"/>
      <c r="V343"/>
      <c r="W343"/>
      <c r="X343"/>
      <c r="Y343"/>
      <c r="Z343"/>
      <c r="AA343"/>
      <c r="AB343"/>
    </row>
    <row r="344" s="7" customFormat="1" customHeight="1" spans="1:28">
      <c r="A344" s="8" t="s">
        <v>954</v>
      </c>
      <c r="B344" s="8" t="str">
        <f>_xlfn.DISPIMG("ID_93F9D661568B4B6D9805E1051815FCC1",1)</f>
        <v>=DISPIMG("ID_93F9D661568B4B6D9805E1051815FCC1",1)</v>
      </c>
      <c r="C344" s="9">
        <v>1.6</v>
      </c>
      <c r="D344" s="9">
        <v>2.7</v>
      </c>
      <c r="E344" s="9">
        <v>1.9</v>
      </c>
      <c r="F344" s="9">
        <v>1.9</v>
      </c>
      <c r="G344" s="9">
        <v>5</v>
      </c>
      <c r="H344" s="9">
        <v>4.6</v>
      </c>
      <c r="I344" s="9">
        <v>5</v>
      </c>
      <c r="J344" s="9">
        <v>5.4</v>
      </c>
      <c r="K344" s="9">
        <v>11</v>
      </c>
      <c r="L344" s="9">
        <v>19</v>
      </c>
      <c r="M344" s="9">
        <v>19</v>
      </c>
      <c r="N344" s="9">
        <v>38</v>
      </c>
      <c r="O344" s="9">
        <v>1.6</v>
      </c>
      <c r="P344" s="9">
        <v>1.8</v>
      </c>
      <c r="Q344" s="9">
        <v>230</v>
      </c>
      <c r="R344"/>
      <c r="S344"/>
      <c r="T344"/>
      <c r="U344"/>
      <c r="V344"/>
      <c r="W344"/>
      <c r="X344"/>
      <c r="Y344"/>
      <c r="Z344"/>
      <c r="AA344"/>
      <c r="AB344"/>
    </row>
    <row r="345" s="7" customFormat="1" customHeight="1" spans="1:28">
      <c r="A345" s="10" t="s">
        <v>955</v>
      </c>
      <c r="B345" s="10" t="str">
        <f>_xlfn.DISPIMG("ID_D28B812E067549C58406DBDF0A999CD7",1)</f>
        <v>=DISPIMG("ID_D28B812E067549C58406DBDF0A999CD7",1)</v>
      </c>
      <c r="C345" s="11">
        <v>3.7</v>
      </c>
      <c r="D345" s="11">
        <v>6.8</v>
      </c>
      <c r="E345" s="11">
        <v>4.4</v>
      </c>
      <c r="F345" s="11">
        <v>4.4</v>
      </c>
      <c r="G345" s="11">
        <v>12.4</v>
      </c>
      <c r="H345" s="11">
        <v>11.5</v>
      </c>
      <c r="I345" s="11">
        <v>12.4</v>
      </c>
      <c r="J345" s="11">
        <v>13.7</v>
      </c>
      <c r="K345" s="11">
        <v>18</v>
      </c>
      <c r="L345" s="11">
        <v>39</v>
      </c>
      <c r="M345" s="11">
        <v>37</v>
      </c>
      <c r="N345" s="11">
        <v>83</v>
      </c>
      <c r="O345" s="11">
        <v>3.4</v>
      </c>
      <c r="P345" s="11">
        <v>4.2</v>
      </c>
      <c r="Q345" s="11">
        <v>230</v>
      </c>
      <c r="R345"/>
      <c r="S345"/>
      <c r="T345"/>
      <c r="U345"/>
      <c r="V345"/>
      <c r="W345"/>
      <c r="X345"/>
      <c r="Y345"/>
      <c r="Z345"/>
      <c r="AA345"/>
      <c r="AB345"/>
    </row>
    <row r="346" s="7" customFormat="1" customHeight="1" spans="1:28">
      <c r="A346" s="14" t="s">
        <v>956</v>
      </c>
      <c r="B346" s="14" t="str">
        <f>_xlfn.DISPIMG("ID_BBE0B9CEC5264971A985A54B2D032A80",1)</f>
        <v>=DISPIMG("ID_BBE0B9CEC5264971A985A54B2D032A80",1)</v>
      </c>
      <c r="C346" s="15">
        <v>2.4</v>
      </c>
      <c r="D346" s="15">
        <v>4.2</v>
      </c>
      <c r="E346" s="15">
        <v>2.9</v>
      </c>
      <c r="F346" s="15">
        <v>2.9</v>
      </c>
      <c r="G346" s="15">
        <v>7.7</v>
      </c>
      <c r="H346" s="15">
        <v>7.2</v>
      </c>
      <c r="I346" s="15">
        <v>7.7</v>
      </c>
      <c r="J346" s="15">
        <v>8.5</v>
      </c>
      <c r="K346" s="15">
        <v>14</v>
      </c>
      <c r="L346" s="15">
        <v>27</v>
      </c>
      <c r="M346" s="15">
        <v>26</v>
      </c>
      <c r="N346" s="15">
        <v>55</v>
      </c>
      <c r="O346" s="15">
        <v>2.7</v>
      </c>
      <c r="P346" s="15">
        <v>2.6</v>
      </c>
      <c r="Q346" s="15">
        <v>230</v>
      </c>
      <c r="R346"/>
      <c r="S346"/>
      <c r="T346"/>
      <c r="U346"/>
      <c r="V346"/>
      <c r="W346"/>
      <c r="X346"/>
      <c r="Y346"/>
      <c r="Z346"/>
      <c r="AA346"/>
      <c r="AB346"/>
    </row>
    <row r="347" s="7" customFormat="1" customHeight="1" spans="1:28">
      <c r="A347" s="10" t="s">
        <v>957</v>
      </c>
      <c r="B347" s="10" t="str">
        <f>_xlfn.DISPIMG("ID_B6639A1B529E4EE893581C97A013424F",1)</f>
        <v>=DISPIMG("ID_B6639A1B529E4EE893581C97A013424F",1)</v>
      </c>
      <c r="C347" s="11">
        <v>3.6</v>
      </c>
      <c r="D347" s="11">
        <v>3.6</v>
      </c>
      <c r="E347" s="11">
        <v>4.4</v>
      </c>
      <c r="F347" s="11">
        <v>3.6</v>
      </c>
      <c r="G347" s="11">
        <v>12.5</v>
      </c>
      <c r="H347" s="11">
        <v>12.7</v>
      </c>
      <c r="I347" s="11">
        <v>11.6</v>
      </c>
      <c r="J347" s="11">
        <v>13.2</v>
      </c>
      <c r="K347" s="11">
        <v>19</v>
      </c>
      <c r="L347" s="11">
        <v>40</v>
      </c>
      <c r="M347" s="11">
        <v>33</v>
      </c>
      <c r="N347" s="11">
        <v>79</v>
      </c>
      <c r="O347" s="11">
        <v>1</v>
      </c>
      <c r="P347" s="11">
        <v>3.5</v>
      </c>
      <c r="Q347" s="11">
        <v>220</v>
      </c>
      <c r="R347"/>
      <c r="S347"/>
      <c r="T347"/>
      <c r="U347"/>
      <c r="V347"/>
      <c r="W347"/>
      <c r="X347"/>
      <c r="Y347"/>
      <c r="Z347"/>
      <c r="AA347"/>
      <c r="AB347"/>
    </row>
    <row r="348" s="7" customFormat="1" customHeight="1" spans="1:28">
      <c r="A348" s="14" t="s">
        <v>958</v>
      </c>
      <c r="B348" s="14" t="str">
        <f>_xlfn.DISPIMG("ID_52B61555CCFD43D889478AB641E17FAB",1)</f>
        <v>=DISPIMG("ID_52B61555CCFD43D889478AB641E17FAB",1)</v>
      </c>
      <c r="C348" s="15">
        <v>1.1</v>
      </c>
      <c r="D348" s="15">
        <v>1.7</v>
      </c>
      <c r="E348" s="15">
        <v>2.1</v>
      </c>
      <c r="F348" s="15">
        <v>1.7</v>
      </c>
      <c r="G348" s="15">
        <v>6.8</v>
      </c>
      <c r="H348" s="15">
        <v>6.9</v>
      </c>
      <c r="I348" s="15">
        <v>6.3</v>
      </c>
      <c r="J348" s="15">
        <v>7.2</v>
      </c>
      <c r="K348" s="15">
        <v>13</v>
      </c>
      <c r="L348" s="15">
        <v>26</v>
      </c>
      <c r="M348" s="15">
        <v>22</v>
      </c>
      <c r="N348" s="15">
        <v>50</v>
      </c>
      <c r="O348" s="15">
        <v>1.1</v>
      </c>
      <c r="P348" s="15">
        <v>2.3</v>
      </c>
      <c r="Q348" s="15">
        <v>220</v>
      </c>
      <c r="R348"/>
      <c r="S348"/>
      <c r="T348"/>
      <c r="U348"/>
      <c r="V348"/>
      <c r="W348"/>
      <c r="X348"/>
      <c r="Y348"/>
      <c r="Z348"/>
      <c r="AA348"/>
      <c r="AB348"/>
    </row>
    <row r="349" s="7" customFormat="1" customHeight="1" spans="1:28">
      <c r="A349" s="8" t="s">
        <v>959</v>
      </c>
      <c r="B349" s="8" t="str">
        <f>_xlfn.DISPIMG("ID_00F8985F8C5B42EAB31038BEB4B37201",1)</f>
        <v>=DISPIMG("ID_00F8985F8C5B42EAB31038BEB4B37201",1)</v>
      </c>
      <c r="C349" s="9">
        <v>0.8</v>
      </c>
      <c r="D349" s="9">
        <v>0.8</v>
      </c>
      <c r="E349" s="9">
        <v>0.8</v>
      </c>
      <c r="F349" s="9">
        <v>0.8</v>
      </c>
      <c r="G349" s="9">
        <v>3.9</v>
      </c>
      <c r="H349" s="9">
        <v>3.5</v>
      </c>
      <c r="I349" s="9">
        <v>3.7</v>
      </c>
      <c r="J349" s="9">
        <v>4.4</v>
      </c>
      <c r="K349" s="9">
        <v>8</v>
      </c>
      <c r="L349" s="9">
        <v>28</v>
      </c>
      <c r="M349" s="9">
        <v>13</v>
      </c>
      <c r="N349" s="9">
        <v>40</v>
      </c>
      <c r="O349" s="9">
        <v>0.2</v>
      </c>
      <c r="P349" s="9">
        <v>1.3</v>
      </c>
      <c r="Q349" s="9">
        <v>210</v>
      </c>
      <c r="R349"/>
      <c r="S349"/>
      <c r="T349"/>
      <c r="U349"/>
      <c r="V349"/>
      <c r="W349"/>
      <c r="X349"/>
      <c r="Y349"/>
      <c r="Z349"/>
      <c r="AA349"/>
      <c r="AB349"/>
    </row>
    <row r="350" s="7" customFormat="1" customHeight="1" spans="1:28">
      <c r="A350" s="10" t="s">
        <v>960</v>
      </c>
      <c r="B350" s="10" t="str">
        <f>_xlfn.DISPIMG("ID_73E3B633E6EA42E3BC20FED13402C2E5",1)</f>
        <v>=DISPIMG("ID_73E3B633E6EA42E3BC20FED13402C2E5",1)</v>
      </c>
      <c r="C350" s="11">
        <v>3.6</v>
      </c>
      <c r="D350" s="11">
        <v>3.2</v>
      </c>
      <c r="E350" s="11">
        <v>3.6</v>
      </c>
      <c r="F350" s="11">
        <v>3.2</v>
      </c>
      <c r="G350" s="11">
        <v>13.5</v>
      </c>
      <c r="H350" s="11">
        <v>13.1</v>
      </c>
      <c r="I350" s="11">
        <v>13.1</v>
      </c>
      <c r="J350" s="11">
        <v>14.6</v>
      </c>
      <c r="K350" s="11">
        <v>13</v>
      </c>
      <c r="L350" s="11">
        <v>61</v>
      </c>
      <c r="M350" s="11">
        <v>24</v>
      </c>
      <c r="N350" s="11">
        <v>89</v>
      </c>
      <c r="O350" s="11">
        <v>1.3</v>
      </c>
      <c r="P350" s="11">
        <v>3.4</v>
      </c>
      <c r="Q350" s="11">
        <v>220</v>
      </c>
      <c r="R350"/>
      <c r="S350"/>
      <c r="T350"/>
      <c r="U350"/>
      <c r="V350"/>
      <c r="W350"/>
      <c r="X350"/>
      <c r="Y350"/>
      <c r="Z350"/>
      <c r="AA350"/>
      <c r="AB350"/>
    </row>
    <row r="351" s="7" customFormat="1" customHeight="1" spans="1:28">
      <c r="A351" s="14" t="s">
        <v>961</v>
      </c>
      <c r="B351" s="14" t="str">
        <f>_xlfn.DISPIMG("ID_06F72E84CBDE4C5998BD6F3B0D719638",1)</f>
        <v>=DISPIMG("ID_06F72E84CBDE4C5998BD6F3B0D719638",1)</v>
      </c>
      <c r="C351" s="15">
        <v>1.6</v>
      </c>
      <c r="D351" s="15">
        <v>1.9</v>
      </c>
      <c r="E351" s="15">
        <v>1.6</v>
      </c>
      <c r="F351" s="15">
        <v>1.4</v>
      </c>
      <c r="G351" s="15">
        <v>6.9</v>
      </c>
      <c r="H351" s="15">
        <v>6.7</v>
      </c>
      <c r="I351" s="15">
        <v>6.7</v>
      </c>
      <c r="J351" s="15">
        <v>7.6</v>
      </c>
      <c r="K351" s="15">
        <v>14</v>
      </c>
      <c r="L351" s="15">
        <v>39</v>
      </c>
      <c r="M351" s="15">
        <v>18</v>
      </c>
      <c r="N351" s="15">
        <v>58</v>
      </c>
      <c r="O351" s="15">
        <v>0</v>
      </c>
      <c r="P351" s="15">
        <v>2</v>
      </c>
      <c r="Q351" s="15">
        <v>220</v>
      </c>
      <c r="R351"/>
      <c r="S351"/>
      <c r="T351"/>
      <c r="U351"/>
      <c r="V351"/>
      <c r="W351"/>
      <c r="X351"/>
      <c r="Y351"/>
      <c r="Z351"/>
      <c r="AA351"/>
      <c r="AB351"/>
    </row>
    <row r="352" s="7" customFormat="1" customHeight="1" spans="1:28">
      <c r="A352" s="8" t="s">
        <v>962</v>
      </c>
      <c r="B352" s="8" t="str">
        <f>_xlfn.DISPIMG("ID_405F8388486B41119AB5D28D45D31B94",1)</f>
        <v>=DISPIMG("ID_405F8388486B41119AB5D28D45D31B94",1)</v>
      </c>
      <c r="C352" s="9">
        <v>4.3</v>
      </c>
      <c r="D352" s="9">
        <v>3.6</v>
      </c>
      <c r="E352" s="9">
        <v>4.2</v>
      </c>
      <c r="F352" s="9">
        <v>4.2</v>
      </c>
      <c r="G352" s="9">
        <v>2.6</v>
      </c>
      <c r="H352" s="9">
        <v>2.9</v>
      </c>
      <c r="I352" s="9">
        <v>2</v>
      </c>
      <c r="J352" s="9">
        <v>3.7</v>
      </c>
      <c r="K352" s="9">
        <v>27</v>
      </c>
      <c r="L352" s="9">
        <v>18</v>
      </c>
      <c r="M352" s="9">
        <v>18</v>
      </c>
      <c r="N352" s="9">
        <v>13</v>
      </c>
      <c r="O352" s="9">
        <v>3.2</v>
      </c>
      <c r="P352" s="9">
        <v>4.6</v>
      </c>
      <c r="Q352" s="9">
        <v>370</v>
      </c>
      <c r="R352"/>
      <c r="S352"/>
      <c r="T352"/>
      <c r="U352"/>
      <c r="V352"/>
      <c r="W352"/>
      <c r="X352"/>
      <c r="Y352"/>
      <c r="Z352"/>
      <c r="AA352"/>
      <c r="AB352"/>
    </row>
    <row r="353" s="7" customFormat="1" customHeight="1" spans="1:28">
      <c r="A353" s="10" t="s">
        <v>963</v>
      </c>
      <c r="B353" s="10" t="str">
        <f>_xlfn.DISPIMG("ID_05B8975AF15940F6A2250E06382B2125",1)</f>
        <v>=DISPIMG("ID_05B8975AF15940F6A2250E06382B2125",1)</v>
      </c>
      <c r="C353" s="11">
        <v>11.7</v>
      </c>
      <c r="D353" s="11">
        <v>9.3</v>
      </c>
      <c r="E353" s="11">
        <v>11.7</v>
      </c>
      <c r="F353" s="11">
        <v>11.1</v>
      </c>
      <c r="G353" s="11">
        <v>6.6</v>
      </c>
      <c r="H353" s="11">
        <v>7.5</v>
      </c>
      <c r="I353" s="11">
        <v>4.2</v>
      </c>
      <c r="J353" s="11">
        <v>10.4</v>
      </c>
      <c r="K353" s="11">
        <v>50</v>
      </c>
      <c r="L353" s="11">
        <v>33</v>
      </c>
      <c r="M353" s="11">
        <v>36</v>
      </c>
      <c r="N353" s="11">
        <v>22</v>
      </c>
      <c r="O353" s="11">
        <v>8.6</v>
      </c>
      <c r="P353" s="11">
        <v>8.6</v>
      </c>
      <c r="Q353" s="11">
        <v>350</v>
      </c>
      <c r="R353"/>
      <c r="S353"/>
      <c r="T353"/>
      <c r="U353"/>
      <c r="V353"/>
      <c r="W353"/>
      <c r="X353"/>
      <c r="Y353"/>
      <c r="Z353"/>
      <c r="AA353"/>
      <c r="AB353"/>
    </row>
    <row r="354" s="7" customFormat="1" customHeight="1" spans="1:28">
      <c r="A354" s="14" t="s">
        <v>964</v>
      </c>
      <c r="B354" s="14" t="str">
        <f>_xlfn.DISPIMG("ID_474C1C09BC5F4C6F94488919138BDD25",1)</f>
        <v>=DISPIMG("ID_474C1C09BC5F4C6F94488919138BDD25",1)</v>
      </c>
      <c r="C354" s="15">
        <v>4.2</v>
      </c>
      <c r="D354" s="15">
        <v>4.7</v>
      </c>
      <c r="E354" s="15">
        <v>4.2</v>
      </c>
      <c r="F354" s="15">
        <v>4.2</v>
      </c>
      <c r="G354" s="15">
        <v>5</v>
      </c>
      <c r="H354" s="15">
        <v>5</v>
      </c>
      <c r="I354" s="15">
        <v>5.9</v>
      </c>
      <c r="J354" s="15">
        <v>7</v>
      </c>
      <c r="K354" s="15">
        <v>21</v>
      </c>
      <c r="L354" s="15">
        <v>34</v>
      </c>
      <c r="M354" s="15">
        <v>28</v>
      </c>
      <c r="N354" s="15">
        <v>25</v>
      </c>
      <c r="O354" s="15">
        <v>2.1</v>
      </c>
      <c r="P354" s="15">
        <v>3.1</v>
      </c>
      <c r="Q354" s="15">
        <v>250</v>
      </c>
      <c r="R354"/>
      <c r="S354"/>
      <c r="T354"/>
      <c r="U354"/>
      <c r="V354"/>
      <c r="W354"/>
      <c r="X354"/>
      <c r="Y354"/>
      <c r="Z354"/>
      <c r="AA354"/>
      <c r="AB354"/>
    </row>
    <row r="355" s="7" customFormat="1" customHeight="1" spans="1:28">
      <c r="A355" s="8" t="s">
        <v>965</v>
      </c>
      <c r="B355" s="8" t="str">
        <f>_xlfn.DISPIMG("ID_4D9C7E88E75D4E358C4ACD29EF9880D1",1)</f>
        <v>=DISPIMG("ID_4D9C7E88E75D4E358C4ACD29EF9880D1",1)</v>
      </c>
      <c r="C355" s="9">
        <v>2.6</v>
      </c>
      <c r="D355" s="9">
        <v>2.1</v>
      </c>
      <c r="E355" s="9">
        <v>3.8</v>
      </c>
      <c r="F355" s="9">
        <v>2.9</v>
      </c>
      <c r="G355" s="9">
        <v>4.2</v>
      </c>
      <c r="H355" s="9">
        <v>4.4</v>
      </c>
      <c r="I355" s="9">
        <v>3.3</v>
      </c>
      <c r="J355" s="9">
        <v>2.7</v>
      </c>
      <c r="K355" s="9">
        <v>19</v>
      </c>
      <c r="L355" s="9">
        <v>30</v>
      </c>
      <c r="M355" s="9">
        <v>21</v>
      </c>
      <c r="N355" s="9">
        <v>25</v>
      </c>
      <c r="O355" s="9">
        <v>1.1</v>
      </c>
      <c r="P355" s="9">
        <v>2.5</v>
      </c>
      <c r="Q355" s="9">
        <v>260</v>
      </c>
      <c r="R355"/>
      <c r="S355"/>
      <c r="T355"/>
      <c r="U355"/>
      <c r="V355"/>
      <c r="W355"/>
      <c r="X355"/>
      <c r="Y355"/>
      <c r="Z355"/>
      <c r="AA355"/>
      <c r="AB355"/>
    </row>
    <row r="356" s="7" customFormat="1" customHeight="1" spans="1:28">
      <c r="A356" s="10" t="s">
        <v>966</v>
      </c>
      <c r="B356" s="10" t="str">
        <f>_xlfn.DISPIMG("ID_30153976DBBC4E7D92F2721EAF6055A5",1)</f>
        <v>=DISPIMG("ID_30153976DBBC4E7D92F2721EAF6055A5",1)</v>
      </c>
      <c r="C356" s="11">
        <v>9</v>
      </c>
      <c r="D356" s="11">
        <v>8.1</v>
      </c>
      <c r="E356" s="11">
        <v>11.5</v>
      </c>
      <c r="F356" s="11">
        <v>9.7</v>
      </c>
      <c r="G356" s="11">
        <v>12.6</v>
      </c>
      <c r="H356" s="11">
        <v>12.8</v>
      </c>
      <c r="I356" s="11">
        <v>10.4</v>
      </c>
      <c r="J356" s="11">
        <v>9</v>
      </c>
      <c r="K356" s="11">
        <v>46</v>
      </c>
      <c r="L356" s="11">
        <v>67</v>
      </c>
      <c r="M356" s="11">
        <v>51</v>
      </c>
      <c r="N356" s="11">
        <v>58</v>
      </c>
      <c r="O356" s="11">
        <v>4.9</v>
      </c>
      <c r="P356" s="11">
        <v>7.8</v>
      </c>
      <c r="Q356" s="11">
        <v>280</v>
      </c>
      <c r="R356"/>
      <c r="S356"/>
      <c r="T356"/>
      <c r="U356"/>
      <c r="V356"/>
      <c r="W356"/>
      <c r="X356"/>
      <c r="Y356"/>
      <c r="Z356"/>
      <c r="AA356"/>
      <c r="AB356"/>
    </row>
    <row r="357" s="7" customFormat="1" customHeight="1" spans="1:28">
      <c r="A357" s="8" t="s">
        <v>967</v>
      </c>
      <c r="B357" s="8" t="str">
        <f>_xlfn.DISPIMG("ID_9596EB02F7984AFFA6A35DA7114B3801",1)</f>
        <v>=DISPIMG("ID_9596EB02F7984AFFA6A35DA7114B3801",1)</v>
      </c>
      <c r="C357" s="9">
        <v>2</v>
      </c>
      <c r="D357" s="9">
        <v>1.4</v>
      </c>
      <c r="E357" s="9">
        <v>1.6</v>
      </c>
      <c r="F357" s="9">
        <v>1.2</v>
      </c>
      <c r="G357" s="9">
        <v>4.2</v>
      </c>
      <c r="H357" s="9">
        <v>3.8</v>
      </c>
      <c r="I357" s="9">
        <v>4</v>
      </c>
      <c r="J357" s="9">
        <v>4.2</v>
      </c>
      <c r="K357" s="9">
        <v>17</v>
      </c>
      <c r="L357" s="9">
        <v>28</v>
      </c>
      <c r="M357" s="9">
        <v>19</v>
      </c>
      <c r="N357" s="9">
        <v>38</v>
      </c>
      <c r="O357" s="9">
        <v>0.8</v>
      </c>
      <c r="P357" s="9">
        <v>1.5</v>
      </c>
      <c r="Q357" s="9">
        <v>220</v>
      </c>
      <c r="R357"/>
      <c r="S357"/>
      <c r="T357"/>
      <c r="U357"/>
      <c r="V357"/>
      <c r="W357"/>
      <c r="X357"/>
      <c r="Y357"/>
      <c r="Z357"/>
      <c r="AA357"/>
      <c r="AB357"/>
    </row>
    <row r="358" s="7" customFormat="1" customHeight="1" spans="1:28">
      <c r="A358" s="8" t="s">
        <v>968</v>
      </c>
      <c r="B358" s="8" t="str">
        <f>_xlfn.DISPIMG("ID_5DCD7E7E875C4B00B06FDF97237C2685",1)</f>
        <v>=DISPIMG("ID_5DCD7E7E875C4B00B06FDF97237C2685",1)</v>
      </c>
      <c r="C358" s="9">
        <v>4.9</v>
      </c>
      <c r="D358" s="9">
        <v>4.8</v>
      </c>
      <c r="E358" s="9">
        <v>4.5</v>
      </c>
      <c r="F358" s="9">
        <v>4.2</v>
      </c>
      <c r="G358" s="9">
        <v>4.1</v>
      </c>
      <c r="H358" s="9">
        <v>3.4</v>
      </c>
      <c r="I358" s="9">
        <v>4.8</v>
      </c>
      <c r="J358" s="9">
        <v>3.8</v>
      </c>
      <c r="K358" s="9">
        <v>27</v>
      </c>
      <c r="L358" s="9">
        <v>27</v>
      </c>
      <c r="M358" s="9">
        <v>27</v>
      </c>
      <c r="N358" s="9">
        <v>22</v>
      </c>
      <c r="O358" s="9">
        <v>8.9</v>
      </c>
      <c r="P358" s="9">
        <v>11</v>
      </c>
      <c r="Q358" s="9">
        <v>500</v>
      </c>
      <c r="R358"/>
      <c r="S358"/>
      <c r="T358"/>
      <c r="U358"/>
      <c r="V358"/>
      <c r="W358"/>
      <c r="X358"/>
      <c r="Y358"/>
      <c r="Z358"/>
      <c r="AA358"/>
      <c r="AB358"/>
    </row>
    <row r="359" s="7" customFormat="1" customHeight="1" spans="1:28">
      <c r="A359" s="8" t="s">
        <v>969</v>
      </c>
      <c r="B359" s="8" t="str">
        <f>_xlfn.DISPIMG("ID_010A4DB4D94140B08485D6EEA0E7B50A",1)</f>
        <v>=DISPIMG("ID_010A4DB4D94140B08485D6EEA0E7B50A",1)</v>
      </c>
      <c r="C359" s="9">
        <v>2.5</v>
      </c>
      <c r="D359" s="9">
        <v>2</v>
      </c>
      <c r="E359" s="9">
        <v>2</v>
      </c>
      <c r="F359" s="9">
        <v>1.6</v>
      </c>
      <c r="G359" s="9">
        <v>5.2</v>
      </c>
      <c r="H359" s="9">
        <v>3.6</v>
      </c>
      <c r="I359" s="9">
        <v>4.6</v>
      </c>
      <c r="J359" s="9">
        <v>4.6</v>
      </c>
      <c r="K359" s="9">
        <v>15</v>
      </c>
      <c r="L359" s="9">
        <v>21</v>
      </c>
      <c r="M359" s="9">
        <v>13</v>
      </c>
      <c r="N359" s="9">
        <v>26</v>
      </c>
      <c r="O359" s="9">
        <v>0.4</v>
      </c>
      <c r="P359" s="9">
        <v>1.9</v>
      </c>
      <c r="Q359" s="9">
        <v>230</v>
      </c>
      <c r="R359"/>
      <c r="S359"/>
      <c r="T359"/>
      <c r="U359"/>
      <c r="V359"/>
      <c r="W359"/>
      <c r="X359"/>
      <c r="Y359"/>
      <c r="Z359"/>
      <c r="AA359"/>
      <c r="AB359"/>
    </row>
    <row r="360" s="7" customFormat="1" customHeight="1" spans="1:28">
      <c r="A360" s="10" t="s">
        <v>970</v>
      </c>
      <c r="B360" s="10" t="str">
        <f>_xlfn.DISPIMG("ID_E0A148458C1A48FAB9A1C9C9A9B0A0BF",1)</f>
        <v>=DISPIMG("ID_E0A148458C1A48FAB9A1C9C9A9B0A0BF",1)</v>
      </c>
      <c r="C360" s="11">
        <v>6.9</v>
      </c>
      <c r="D360" s="11">
        <v>2.8</v>
      </c>
      <c r="E360" s="11">
        <v>4.5</v>
      </c>
      <c r="F360" s="11">
        <v>5.6</v>
      </c>
      <c r="G360" s="11">
        <v>13.3</v>
      </c>
      <c r="H360" s="11">
        <v>11.2</v>
      </c>
      <c r="I360" s="11">
        <v>12.8</v>
      </c>
      <c r="J360" s="11">
        <v>12.6</v>
      </c>
      <c r="K360" s="11">
        <v>36</v>
      </c>
      <c r="L360" s="11">
        <v>43</v>
      </c>
      <c r="M360" s="11">
        <v>39</v>
      </c>
      <c r="N360" s="11">
        <v>71</v>
      </c>
      <c r="O360" s="11">
        <v>3.6</v>
      </c>
      <c r="P360" s="11">
        <v>4.2</v>
      </c>
      <c r="Q360" s="11">
        <v>230</v>
      </c>
      <c r="R360"/>
      <c r="S360"/>
      <c r="T360"/>
      <c r="U360"/>
      <c r="V360"/>
      <c r="W360"/>
      <c r="X360"/>
      <c r="Y360"/>
      <c r="Z360"/>
      <c r="AA360"/>
      <c r="AB360"/>
    </row>
    <row r="361" s="7" customFormat="1" customHeight="1" spans="1:28">
      <c r="A361" s="10" t="s">
        <v>971</v>
      </c>
      <c r="B361" s="10" t="str">
        <f>_xlfn.DISPIMG("ID_509003D5ACDE4F71A74B6CBDDF9BA15B",1)</f>
        <v>=DISPIMG("ID_509003D5ACDE4F71A74B6CBDDF9BA15B",1)</v>
      </c>
      <c r="C361" s="11">
        <v>4.2</v>
      </c>
      <c r="D361" s="11">
        <v>4.2</v>
      </c>
      <c r="E361" s="11">
        <v>4.2</v>
      </c>
      <c r="F361" s="11">
        <v>3.6</v>
      </c>
      <c r="G361" s="11">
        <v>13.5</v>
      </c>
      <c r="H361" s="11">
        <v>12.9</v>
      </c>
      <c r="I361" s="11">
        <v>13.1</v>
      </c>
      <c r="J361" s="11">
        <v>13.5</v>
      </c>
      <c r="K361" s="11">
        <v>25</v>
      </c>
      <c r="L361" s="11">
        <v>36</v>
      </c>
      <c r="M361" s="11">
        <v>30</v>
      </c>
      <c r="N361" s="11">
        <v>65</v>
      </c>
      <c r="O361" s="11">
        <v>0.9</v>
      </c>
      <c r="P361" s="11">
        <v>3</v>
      </c>
      <c r="Q361" s="11">
        <v>210</v>
      </c>
      <c r="R361"/>
      <c r="S361"/>
      <c r="T361"/>
      <c r="U361"/>
      <c r="V361"/>
      <c r="W361"/>
      <c r="X361"/>
      <c r="Y361"/>
      <c r="Z361"/>
      <c r="AA361"/>
      <c r="AB361"/>
    </row>
    <row r="362" s="7" customFormat="1" customHeight="1" spans="1:28">
      <c r="A362" s="10" t="s">
        <v>972</v>
      </c>
      <c r="B362" s="10" t="str">
        <f>_xlfn.DISPIMG("ID_449BBA0A37C542998C1DE453997AF446",1)</f>
        <v>=DISPIMG("ID_449BBA0A37C542998C1DE453997AF446",1)</v>
      </c>
      <c r="C362" s="11">
        <v>3.7</v>
      </c>
      <c r="D362" s="11">
        <v>3.1</v>
      </c>
      <c r="E362" s="11">
        <v>2.7</v>
      </c>
      <c r="F362" s="11">
        <v>2.4</v>
      </c>
      <c r="G362" s="11">
        <v>12.7</v>
      </c>
      <c r="H362" s="11">
        <v>11.1</v>
      </c>
      <c r="I362" s="11">
        <v>12.2</v>
      </c>
      <c r="J362" s="11">
        <v>12.3</v>
      </c>
      <c r="K362" s="11">
        <v>30</v>
      </c>
      <c r="L362" s="11">
        <v>47</v>
      </c>
      <c r="M362" s="11">
        <v>25</v>
      </c>
      <c r="N362" s="11">
        <v>60</v>
      </c>
      <c r="O362" s="11">
        <v>0.9</v>
      </c>
      <c r="P362" s="11">
        <v>3.1</v>
      </c>
      <c r="Q362" s="11">
        <v>210</v>
      </c>
      <c r="R362"/>
      <c r="S362"/>
      <c r="T362"/>
      <c r="U362"/>
      <c r="V362"/>
      <c r="W362"/>
      <c r="X362"/>
      <c r="Y362"/>
      <c r="Z362"/>
      <c r="AA362"/>
      <c r="AB362"/>
    </row>
    <row r="363" s="7" customFormat="1" customHeight="1" spans="1:28">
      <c r="A363" s="12" t="s">
        <v>973</v>
      </c>
      <c r="B363" s="12" t="str">
        <f>_xlfn.DISPIMG("ID_1C1CCB84293343D8AFDF66F8ADBC4B20",1)</f>
        <v>=DISPIMG("ID_1C1CCB84293343D8AFDF66F8ADBC4B20",1)</v>
      </c>
      <c r="C363" s="13">
        <v>0.7</v>
      </c>
      <c r="D363" s="13">
        <v>0.5</v>
      </c>
      <c r="E363" s="13">
        <v>0.4</v>
      </c>
      <c r="F363" s="13">
        <v>0.4</v>
      </c>
      <c r="G363" s="13">
        <v>3</v>
      </c>
      <c r="H363" s="13">
        <v>2.5</v>
      </c>
      <c r="I363" s="13">
        <v>2.8</v>
      </c>
      <c r="J363" s="13">
        <v>2.9</v>
      </c>
      <c r="K363" s="13">
        <v>11</v>
      </c>
      <c r="L363" s="13">
        <v>17</v>
      </c>
      <c r="M363" s="13">
        <v>10</v>
      </c>
      <c r="N363" s="13">
        <v>21</v>
      </c>
      <c r="O363" s="13">
        <v>0.1</v>
      </c>
      <c r="P363" s="13">
        <v>0.9</v>
      </c>
      <c r="Q363" s="13">
        <v>210</v>
      </c>
      <c r="R363"/>
      <c r="S363"/>
      <c r="T363"/>
      <c r="U363"/>
      <c r="V363"/>
      <c r="W363"/>
      <c r="X363"/>
      <c r="Y363"/>
      <c r="Z363"/>
      <c r="AA363"/>
      <c r="AB363"/>
    </row>
    <row r="364" s="7" customFormat="1" customHeight="1" spans="1:28">
      <c r="A364" s="14" t="s">
        <v>974</v>
      </c>
      <c r="B364" s="14" t="str">
        <f>_xlfn.DISPIMG("ID_9E669B435A7E4D2CA2FC838FAE5BC136",1)</f>
        <v>=DISPIMG("ID_9E669B435A7E4D2CA2FC838FAE5BC136",1)</v>
      </c>
      <c r="C364" s="15">
        <v>2.4</v>
      </c>
      <c r="D364" s="15">
        <v>2.1</v>
      </c>
      <c r="E364" s="15">
        <v>1.9</v>
      </c>
      <c r="F364" s="15">
        <v>1.7</v>
      </c>
      <c r="G364" s="15">
        <v>7.7</v>
      </c>
      <c r="H364" s="15">
        <v>6.7</v>
      </c>
      <c r="I364" s="15">
        <v>7.3</v>
      </c>
      <c r="J364" s="15">
        <v>7.4</v>
      </c>
      <c r="K364" s="15">
        <v>18</v>
      </c>
      <c r="L364" s="15">
        <v>29</v>
      </c>
      <c r="M364" s="15">
        <v>15</v>
      </c>
      <c r="N364" s="15">
        <v>37</v>
      </c>
      <c r="O364" s="15">
        <v>0.6</v>
      </c>
      <c r="P364" s="15">
        <v>2</v>
      </c>
      <c r="Q364" s="15">
        <v>210</v>
      </c>
      <c r="R364"/>
      <c r="S364"/>
      <c r="T364"/>
      <c r="U364"/>
      <c r="V364"/>
      <c r="W364"/>
      <c r="X364"/>
      <c r="Y364"/>
      <c r="Z364"/>
      <c r="AA364"/>
      <c r="AB364"/>
    </row>
  </sheetData>
  <pageMargins left="0.7" right="0.7" top="0.75" bottom="0.75" header="0.3" footer="0.3"/>
  <pageSetup paperSize="9" orientation="portrait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D94"/>
  <sheetViews>
    <sheetView tabSelected="1" workbookViewId="0">
      <pane xSplit="1" ySplit="1" topLeftCell="B67" activePane="bottomRight" state="frozen"/>
      <selection/>
      <selection pane="topRight"/>
      <selection pane="bottomLeft"/>
      <selection pane="bottomRight" activeCell="G72" sqref="G72"/>
    </sheetView>
  </sheetViews>
  <sheetFormatPr defaultColWidth="9" defaultRowHeight="13.5"/>
  <cols>
    <col min="1" max="2" width="12.875" style="1" customWidth="1"/>
    <col min="3" max="18" width="7.625" style="1" customWidth="1"/>
    <col min="19" max="16384" width="9" style="1"/>
  </cols>
  <sheetData>
    <row r="1" s="2" customFormat="1" ht="75" customHeight="1" spans="1:30">
      <c r="A1" s="2" t="s">
        <v>0</v>
      </c>
      <c r="C1" s="2" t="s">
        <v>975</v>
      </c>
      <c r="D1" s="2" t="s">
        <v>11</v>
      </c>
      <c r="E1" s="2" t="s">
        <v>607</v>
      </c>
      <c r="F1" s="2" t="s">
        <v>608</v>
      </c>
      <c r="G1" s="2" t="s">
        <v>609</v>
      </c>
      <c r="H1" s="2" t="s">
        <v>12</v>
      </c>
      <c r="I1" s="2" t="s">
        <v>13</v>
      </c>
      <c r="J1" s="2" t="s">
        <v>14</v>
      </c>
      <c r="K1" s="2" t="s">
        <v>15</v>
      </c>
      <c r="L1" s="2" t="s">
        <v>610</v>
      </c>
      <c r="M1" s="2" t="s">
        <v>611</v>
      </c>
      <c r="N1" s="2" t="s">
        <v>612</v>
      </c>
      <c r="O1" s="2" t="s">
        <v>613</v>
      </c>
      <c r="P1" s="2" t="s">
        <v>614</v>
      </c>
      <c r="Q1" s="2" t="s">
        <v>30</v>
      </c>
      <c r="R1" s="2" t="s">
        <v>31</v>
      </c>
      <c r="T1"/>
      <c r="U1"/>
      <c r="V1"/>
      <c r="W1"/>
      <c r="X1"/>
      <c r="Y1"/>
      <c r="Z1"/>
      <c r="AA1"/>
      <c r="AB1"/>
      <c r="AC1"/>
      <c r="AD1"/>
    </row>
    <row r="2" ht="105.75" spans="1:18">
      <c r="A2" s="1" t="s">
        <v>976</v>
      </c>
      <c r="B2" t="str">
        <f>_xlfn.DISPIMG("ID_48E8653B74434237B3410B928D2ADAED",1)</f>
        <v>=DISPIMG("ID_48E8653B74434237B3410B928D2ADAED",1)</v>
      </c>
      <c r="C2" s="1">
        <v>1</v>
      </c>
      <c r="D2" s="1">
        <v>21.2</v>
      </c>
      <c r="E2" s="1">
        <v>22.2</v>
      </c>
      <c r="F2" s="1">
        <v>21.2</v>
      </c>
      <c r="G2" s="1">
        <v>21.2</v>
      </c>
      <c r="H2" s="1">
        <v>17.3</v>
      </c>
      <c r="I2" s="1">
        <v>19</v>
      </c>
      <c r="J2" s="1">
        <v>13.2</v>
      </c>
      <c r="K2" s="1">
        <v>17.3</v>
      </c>
      <c r="L2" s="1">
        <v>111</v>
      </c>
      <c r="M2" s="1">
        <v>153</v>
      </c>
      <c r="N2" s="1">
        <v>142</v>
      </c>
      <c r="O2" s="1">
        <v>122</v>
      </c>
      <c r="P2" s="1">
        <v>13</v>
      </c>
      <c r="Q2" s="1">
        <v>18.7</v>
      </c>
      <c r="R2" s="1">
        <v>1100</v>
      </c>
    </row>
    <row r="3" ht="102.05" spans="1:18">
      <c r="A3" s="1" t="s">
        <v>977</v>
      </c>
      <c r="B3" t="str">
        <f>_xlfn.DISPIMG("ID_FA40881F8AEE441D89EFC59D24A3AB52",1)</f>
        <v>=DISPIMG("ID_FA40881F8AEE441D89EFC59D24A3AB52",1)</v>
      </c>
      <c r="C3" s="1">
        <v>2</v>
      </c>
      <c r="D3" s="1">
        <v>21</v>
      </c>
      <c r="E3" s="1">
        <v>19.2</v>
      </c>
      <c r="F3" s="1">
        <v>21</v>
      </c>
      <c r="G3" s="1">
        <v>21</v>
      </c>
      <c r="H3" s="1">
        <v>15.3</v>
      </c>
      <c r="I3" s="1">
        <v>17.6</v>
      </c>
      <c r="J3" s="1">
        <v>19.4</v>
      </c>
      <c r="K3" s="1">
        <v>15.3</v>
      </c>
      <c r="L3" s="1">
        <v>102</v>
      </c>
      <c r="M3" s="1">
        <v>151</v>
      </c>
      <c r="N3" s="1">
        <v>145</v>
      </c>
      <c r="O3" s="1">
        <v>102</v>
      </c>
      <c r="P3" s="1">
        <v>8.4</v>
      </c>
      <c r="Q3" s="1">
        <v>14.9</v>
      </c>
      <c r="R3" s="1">
        <v>1070</v>
      </c>
    </row>
    <row r="4" ht="103.8" spans="1:18">
      <c r="A4" s="1" t="s">
        <v>978</v>
      </c>
      <c r="B4" t="str">
        <f>_xlfn.DISPIMG("ID_78A130A159A240D3A6A9CAFF5D01D79C",1)</f>
        <v>=DISPIMG("ID_78A130A159A240D3A6A9CAFF5D01D79C",1)</v>
      </c>
      <c r="C4" s="1">
        <v>3</v>
      </c>
      <c r="D4" s="1">
        <v>21.6</v>
      </c>
      <c r="E4" s="1">
        <v>21.3</v>
      </c>
      <c r="F4" s="1">
        <v>16.4</v>
      </c>
      <c r="G4" s="1">
        <v>16.2</v>
      </c>
      <c r="H4" s="1">
        <v>21.5</v>
      </c>
      <c r="I4" s="1">
        <v>20</v>
      </c>
      <c r="J4" s="1">
        <v>26.5</v>
      </c>
      <c r="K4" s="1">
        <v>20</v>
      </c>
      <c r="L4" s="1">
        <v>122</v>
      </c>
      <c r="M4" s="1">
        <v>148</v>
      </c>
      <c r="N4" s="1">
        <v>122</v>
      </c>
      <c r="O4" s="1">
        <v>135</v>
      </c>
      <c r="P4" s="1">
        <v>7.2</v>
      </c>
      <c r="Q4" s="1">
        <v>15.9</v>
      </c>
      <c r="R4" s="1">
        <v>1060</v>
      </c>
    </row>
    <row r="5" ht="104.2" spans="1:18">
      <c r="A5" s="1" t="s">
        <v>979</v>
      </c>
      <c r="B5" t="str">
        <f>_xlfn.DISPIMG("ID_6C35919CDDFA48C493D84308A0205FFA",1)</f>
        <v>=DISPIMG("ID_6C35919CDDFA48C493D84308A0205FFA",1)</v>
      </c>
      <c r="D5" s="1">
        <v>26.7</v>
      </c>
      <c r="E5" s="1">
        <v>20.6</v>
      </c>
      <c r="F5" s="1">
        <v>28.9</v>
      </c>
      <c r="G5" s="1">
        <v>22.1</v>
      </c>
      <c r="H5" s="1">
        <v>23.2</v>
      </c>
      <c r="I5" s="1">
        <v>23.6</v>
      </c>
      <c r="J5" s="1">
        <v>14.2</v>
      </c>
      <c r="K5" s="1">
        <v>19.4</v>
      </c>
      <c r="L5" s="1">
        <v>127</v>
      </c>
      <c r="M5" s="1">
        <v>88</v>
      </c>
      <c r="N5" s="1">
        <v>95</v>
      </c>
      <c r="O5" s="1">
        <v>67</v>
      </c>
      <c r="P5" s="1">
        <v>25.6</v>
      </c>
      <c r="Q5" s="1">
        <v>25.7</v>
      </c>
      <c r="R5" s="1">
        <v>1500</v>
      </c>
    </row>
    <row r="6" ht="102.35" spans="1:18">
      <c r="A6" s="1" t="s">
        <v>980</v>
      </c>
      <c r="B6" t="str">
        <f>_xlfn.DISPIMG("ID_E072CEE6CD9343B5B633285C7D5301D7",1)</f>
        <v>=DISPIMG("ID_E072CEE6CD9343B5B633285C7D5301D7",1)</v>
      </c>
      <c r="C6" s="1">
        <v>4</v>
      </c>
      <c r="D6" s="1">
        <v>23.8</v>
      </c>
      <c r="E6" s="1">
        <v>15.2</v>
      </c>
      <c r="F6" s="1">
        <v>27.4</v>
      </c>
      <c r="G6" s="1">
        <v>21.4</v>
      </c>
      <c r="H6" s="1">
        <v>19.6</v>
      </c>
      <c r="I6" s="1">
        <v>15.7</v>
      </c>
      <c r="J6" s="1">
        <v>11.6</v>
      </c>
      <c r="K6" s="1">
        <v>21.1</v>
      </c>
      <c r="L6" s="1">
        <v>145</v>
      </c>
      <c r="M6" s="1">
        <v>83</v>
      </c>
      <c r="N6" s="1">
        <v>81</v>
      </c>
      <c r="O6" s="1">
        <v>59</v>
      </c>
      <c r="P6" s="1">
        <v>14.7</v>
      </c>
      <c r="Q6" s="1">
        <v>20.3</v>
      </c>
      <c r="R6" s="1">
        <v>1320</v>
      </c>
    </row>
    <row r="7" ht="105.15" spans="1:18">
      <c r="A7" s="1" t="s">
        <v>981</v>
      </c>
      <c r="B7" t="str">
        <f>_xlfn.DISPIMG("ID_EB9FE8A57A9849A3AC1AF5825511D210",1)</f>
        <v>=DISPIMG("ID_EB9FE8A57A9849A3AC1AF5825511D210",1)</v>
      </c>
      <c r="C7" s="1">
        <v>5</v>
      </c>
      <c r="D7" s="1">
        <v>25.5</v>
      </c>
      <c r="E7" s="1">
        <v>27</v>
      </c>
      <c r="F7" s="1">
        <v>25</v>
      </c>
      <c r="G7" s="1">
        <v>24.3</v>
      </c>
      <c r="H7" s="1">
        <v>13.1</v>
      </c>
      <c r="I7" s="1">
        <v>24.6</v>
      </c>
      <c r="J7" s="1">
        <v>13.9</v>
      </c>
      <c r="K7" s="1">
        <v>13.1</v>
      </c>
      <c r="L7" s="1">
        <v>123</v>
      </c>
      <c r="M7" s="1">
        <v>104</v>
      </c>
      <c r="N7" s="1">
        <v>156</v>
      </c>
      <c r="O7" s="1">
        <v>88</v>
      </c>
      <c r="P7" s="1">
        <v>18.5</v>
      </c>
      <c r="Q7" s="1">
        <v>22.2</v>
      </c>
      <c r="R7" s="1">
        <v>1280</v>
      </c>
    </row>
    <row r="8" ht="104.15" spans="1:18">
      <c r="A8" s="1" t="s">
        <v>982</v>
      </c>
      <c r="B8" t="str">
        <f>_xlfn.DISPIMG("ID_6EC76ACED76A4C62940591759033B82B",1)</f>
        <v>=DISPIMG("ID_6EC76ACED76A4C62940591759033B82B",1)</v>
      </c>
      <c r="C8" s="1">
        <v>6</v>
      </c>
      <c r="D8" s="1">
        <v>24.2</v>
      </c>
      <c r="E8" s="1">
        <v>19</v>
      </c>
      <c r="F8" s="1">
        <v>24</v>
      </c>
      <c r="G8" s="1">
        <v>24</v>
      </c>
      <c r="H8" s="1">
        <v>22.9</v>
      </c>
      <c r="I8" s="1">
        <v>22.9</v>
      </c>
      <c r="J8" s="1">
        <v>21.4</v>
      </c>
      <c r="K8" s="1">
        <v>22.9</v>
      </c>
      <c r="L8" s="1">
        <v>83</v>
      </c>
      <c r="M8" s="1">
        <v>71</v>
      </c>
      <c r="N8" s="1">
        <v>77</v>
      </c>
      <c r="O8" s="1">
        <v>66</v>
      </c>
      <c r="P8" s="1">
        <v>25.9</v>
      </c>
      <c r="Q8" s="1">
        <v>22.5</v>
      </c>
      <c r="R8" s="1">
        <v>1430</v>
      </c>
    </row>
    <row r="9" ht="104.05" spans="1:18">
      <c r="A9" s="1" t="s">
        <v>983</v>
      </c>
      <c r="B9" t="str">
        <f>_xlfn.DISPIMG("ID_7156EC8AA8AC413A81FEA444376EEA1D",1)</f>
        <v>=DISPIMG("ID_7156EC8AA8AC413A81FEA444376EEA1D",1)</v>
      </c>
      <c r="C9" s="1">
        <v>7</v>
      </c>
      <c r="D9" s="1">
        <v>21.4</v>
      </c>
      <c r="E9" s="1">
        <v>22</v>
      </c>
      <c r="F9" s="1">
        <v>20.8</v>
      </c>
      <c r="G9" s="1">
        <v>22.4</v>
      </c>
      <c r="H9" s="1">
        <v>16.1</v>
      </c>
      <c r="I9" s="1">
        <v>16.3</v>
      </c>
      <c r="J9" s="1">
        <v>13.1</v>
      </c>
      <c r="K9" s="1">
        <v>16.1</v>
      </c>
      <c r="L9" s="1">
        <v>129</v>
      </c>
      <c r="M9" s="1">
        <v>83</v>
      </c>
      <c r="N9" s="1">
        <v>81</v>
      </c>
      <c r="O9" s="1">
        <v>55</v>
      </c>
      <c r="P9" s="1">
        <v>18.7</v>
      </c>
      <c r="Q9" s="1">
        <v>18.9</v>
      </c>
      <c r="R9" s="1">
        <v>1210</v>
      </c>
    </row>
    <row r="10" ht="104.3" spans="1:18">
      <c r="A10" s="1" t="s">
        <v>984</v>
      </c>
      <c r="B10" t="str">
        <f>_xlfn.DISPIMG("ID_645A3E7A4900433C8E73B90AAB118E56",1)</f>
        <v>=DISPIMG("ID_645A3E7A4900433C8E73B90AAB118E56",1)</v>
      </c>
      <c r="C10" s="1">
        <v>8</v>
      </c>
      <c r="D10" s="1">
        <v>19.2</v>
      </c>
      <c r="E10" s="1">
        <v>18.8</v>
      </c>
      <c r="F10" s="1">
        <v>17.7</v>
      </c>
      <c r="G10" s="1">
        <v>14.6</v>
      </c>
      <c r="H10" s="1">
        <v>21.9</v>
      </c>
      <c r="I10" s="1">
        <v>18.2</v>
      </c>
      <c r="J10" s="1">
        <v>24.7</v>
      </c>
      <c r="K10" s="1">
        <v>22.9</v>
      </c>
      <c r="L10" s="1">
        <v>97</v>
      </c>
      <c r="M10" s="1">
        <v>147</v>
      </c>
      <c r="N10" s="1">
        <v>153</v>
      </c>
      <c r="O10" s="1">
        <v>122</v>
      </c>
      <c r="P10" s="1">
        <v>4.2</v>
      </c>
      <c r="Q10" s="1">
        <v>14.4</v>
      </c>
      <c r="R10" s="1">
        <v>1020</v>
      </c>
    </row>
    <row r="11" ht="104.05" spans="1:18">
      <c r="A11" s="1" t="s">
        <v>985</v>
      </c>
      <c r="B11" t="str">
        <f>_xlfn.DISPIMG("ID_C73C5CD22D16449DB8E812A1B4958694",1)</f>
        <v>=DISPIMG("ID_C73C5CD22D16449DB8E812A1B4958694",1)</v>
      </c>
      <c r="C11" s="1">
        <v>9</v>
      </c>
      <c r="D11" s="1">
        <v>17</v>
      </c>
      <c r="E11" s="1">
        <v>22.5</v>
      </c>
      <c r="F11" s="1">
        <v>18.8</v>
      </c>
      <c r="G11" s="1">
        <v>21.7</v>
      </c>
      <c r="H11" s="1">
        <v>21.9</v>
      </c>
      <c r="I11" s="1">
        <v>19</v>
      </c>
      <c r="J11" s="1">
        <v>22.3</v>
      </c>
      <c r="K11" s="1">
        <v>18.7</v>
      </c>
      <c r="L11" s="1">
        <v>93</v>
      </c>
      <c r="M11" s="1">
        <v>129</v>
      </c>
      <c r="N11" s="1">
        <v>148</v>
      </c>
      <c r="O11" s="1">
        <v>104</v>
      </c>
      <c r="P11" s="1">
        <v>7.9</v>
      </c>
      <c r="Q11" s="1">
        <v>14.3</v>
      </c>
      <c r="R11" s="1">
        <v>1140</v>
      </c>
    </row>
    <row r="12" ht="103.8" spans="1:18">
      <c r="A12" s="1" t="s">
        <v>986</v>
      </c>
      <c r="B12" t="str">
        <f>_xlfn.DISPIMG("ID_A7531F2A1C7849FF9D15448BE95ED30D",1)</f>
        <v>=DISPIMG("ID_A7531F2A1C7849FF9D15448BE95ED30D",1)</v>
      </c>
      <c r="C12" s="1">
        <v>10</v>
      </c>
      <c r="D12" s="1">
        <v>14.4</v>
      </c>
      <c r="E12" s="1">
        <v>17.5</v>
      </c>
      <c r="F12" s="1">
        <v>14.4</v>
      </c>
      <c r="G12" s="1">
        <v>18.9</v>
      </c>
      <c r="H12" s="1">
        <v>24.6</v>
      </c>
      <c r="I12" s="1">
        <v>25.5</v>
      </c>
      <c r="J12" s="1">
        <v>24.3</v>
      </c>
      <c r="K12" s="1">
        <v>19.1</v>
      </c>
      <c r="L12" s="1">
        <v>75</v>
      </c>
      <c r="M12" s="1">
        <v>133</v>
      </c>
      <c r="N12" s="1">
        <v>126</v>
      </c>
      <c r="O12" s="1">
        <v>147</v>
      </c>
      <c r="P12" s="1">
        <v>6.1</v>
      </c>
      <c r="Q12" s="1">
        <v>13.6</v>
      </c>
      <c r="R12" s="1">
        <v>990</v>
      </c>
    </row>
    <row r="13" ht="103.8" spans="1:18">
      <c r="A13" s="1" t="s">
        <v>987</v>
      </c>
      <c r="B13" t="str">
        <f>_xlfn.DISPIMG("ID_337B556ADC7B4A1EB9C064634E187A66",1)</f>
        <v>=DISPIMG("ID_337B556ADC7B4A1EB9C064634E187A66",1)</v>
      </c>
      <c r="C13" s="1">
        <v>11</v>
      </c>
      <c r="D13" s="1">
        <v>22.1</v>
      </c>
      <c r="E13" s="1">
        <v>22.3</v>
      </c>
      <c r="F13" s="1">
        <v>12.8</v>
      </c>
      <c r="G13" s="1">
        <v>19.3</v>
      </c>
      <c r="H13" s="1">
        <v>27.1</v>
      </c>
      <c r="I13" s="1">
        <v>27.9</v>
      </c>
      <c r="J13" s="1">
        <v>28.3</v>
      </c>
      <c r="K13" s="1">
        <v>22.5</v>
      </c>
      <c r="L13" s="1">
        <v>101</v>
      </c>
      <c r="M13" s="1">
        <v>130</v>
      </c>
      <c r="N13" s="1">
        <v>161</v>
      </c>
      <c r="O13" s="1">
        <v>109</v>
      </c>
      <c r="P13" s="1">
        <v>10.6</v>
      </c>
      <c r="Q13" s="1">
        <v>18.6</v>
      </c>
      <c r="R13" s="1">
        <v>1200</v>
      </c>
    </row>
    <row r="14" ht="104.1" spans="1:18">
      <c r="A14" s="1" t="s">
        <v>988</v>
      </c>
      <c r="B14" t="str">
        <f>_xlfn.DISPIMG("ID_85684FDBEE6D4A81BA89379A194B3C41",1)</f>
        <v>=DISPIMG("ID_85684FDBEE6D4A81BA89379A194B3C41",1)</v>
      </c>
      <c r="C14" s="1">
        <v>12</v>
      </c>
      <c r="D14" s="1">
        <v>26.8</v>
      </c>
      <c r="E14" s="1">
        <v>19.1</v>
      </c>
      <c r="F14" s="1">
        <v>26.7</v>
      </c>
      <c r="G14" s="1">
        <v>25.3</v>
      </c>
      <c r="H14" s="1">
        <v>19</v>
      </c>
      <c r="I14" s="1">
        <v>18.3</v>
      </c>
      <c r="J14" s="1">
        <v>7.9</v>
      </c>
      <c r="K14" s="1">
        <v>17.2</v>
      </c>
      <c r="L14" s="1">
        <v>118</v>
      </c>
      <c r="M14" s="1">
        <v>76</v>
      </c>
      <c r="N14" s="1">
        <v>85</v>
      </c>
      <c r="O14" s="1">
        <v>48</v>
      </c>
      <c r="P14" s="1">
        <v>19.6</v>
      </c>
      <c r="Q14" s="1">
        <v>20.5</v>
      </c>
      <c r="R14" s="1">
        <v>1400</v>
      </c>
    </row>
    <row r="15" ht="104.25" spans="1:18">
      <c r="A15" s="1" t="s">
        <v>989</v>
      </c>
      <c r="B15" t="str">
        <f>_xlfn.DISPIMG("ID_1886777355AA4112B40204FC9CBD0D6E",1)</f>
        <v>=DISPIMG("ID_1886777355AA4112B40204FC9CBD0D6E",1)</v>
      </c>
      <c r="C15" s="1">
        <v>13</v>
      </c>
      <c r="D15" s="1">
        <v>29.4</v>
      </c>
      <c r="E15" s="1">
        <v>24.8</v>
      </c>
      <c r="F15" s="1">
        <v>28.4</v>
      </c>
      <c r="G15" s="1">
        <v>28</v>
      </c>
      <c r="H15" s="1">
        <v>17.5</v>
      </c>
      <c r="I15" s="1">
        <v>23.9</v>
      </c>
      <c r="J15" s="1">
        <v>15.6</v>
      </c>
      <c r="K15" s="1">
        <v>19.3</v>
      </c>
      <c r="L15" s="1">
        <v>107</v>
      </c>
      <c r="M15" s="1">
        <v>88</v>
      </c>
      <c r="N15" s="1">
        <v>89</v>
      </c>
      <c r="O15" s="1">
        <v>56</v>
      </c>
      <c r="P15" s="1">
        <v>26.7</v>
      </c>
      <c r="Q15" s="1">
        <v>26.3</v>
      </c>
      <c r="R15" s="1">
        <v>1480</v>
      </c>
    </row>
    <row r="16" ht="104.05" spans="1:18">
      <c r="A16" s="1" t="s">
        <v>990</v>
      </c>
      <c r="B16" t="str">
        <f>_xlfn.DISPIMG("ID_4DA9E6A1E7EC4DD2A982D6F9567897E0",1)</f>
        <v>=DISPIMG("ID_4DA9E6A1E7EC4DD2A982D6F9567897E0",1)</v>
      </c>
      <c r="C16" s="1">
        <v>14</v>
      </c>
      <c r="D16" s="1">
        <v>25.5</v>
      </c>
      <c r="E16" s="1">
        <v>21.7</v>
      </c>
      <c r="F16" s="1">
        <v>27.2</v>
      </c>
      <c r="G16" s="1">
        <v>24.3</v>
      </c>
      <c r="H16" s="1">
        <v>16.7</v>
      </c>
      <c r="I16" s="1">
        <v>24.4</v>
      </c>
      <c r="J16" s="1">
        <v>18.5</v>
      </c>
      <c r="K16" s="1">
        <v>16.7</v>
      </c>
      <c r="L16" s="1">
        <v>142</v>
      </c>
      <c r="M16" s="1">
        <v>85</v>
      </c>
      <c r="N16" s="1">
        <v>78</v>
      </c>
      <c r="O16" s="1">
        <v>48</v>
      </c>
      <c r="P16" s="1">
        <v>19.1</v>
      </c>
      <c r="Q16" s="1">
        <v>21.5</v>
      </c>
      <c r="R16" s="1">
        <v>1420</v>
      </c>
    </row>
    <row r="17" ht="105" spans="1:18">
      <c r="A17" s="1" t="s">
        <v>991</v>
      </c>
      <c r="B17" t="str">
        <f>_xlfn.DISPIMG("ID_57AC8B88C5624C9C82F25A007600E960",1)</f>
        <v>=DISPIMG("ID_57AC8B88C5624C9C82F25A007600E960",1)</v>
      </c>
      <c r="C17" s="1">
        <v>15</v>
      </c>
      <c r="D17" s="1">
        <v>27.6</v>
      </c>
      <c r="E17" s="1">
        <v>26.6</v>
      </c>
      <c r="F17" s="1">
        <v>21.8</v>
      </c>
      <c r="G17" s="1">
        <v>24.4</v>
      </c>
      <c r="H17" s="1">
        <v>18.6</v>
      </c>
      <c r="I17" s="1">
        <v>28.2</v>
      </c>
      <c r="J17" s="1">
        <v>23.2</v>
      </c>
      <c r="K17" s="1">
        <v>19.3</v>
      </c>
      <c r="L17" s="1">
        <v>97</v>
      </c>
      <c r="M17" s="1">
        <v>57</v>
      </c>
      <c r="N17" s="1">
        <v>88</v>
      </c>
      <c r="O17" s="1">
        <v>47</v>
      </c>
      <c r="P17" s="1">
        <v>19.2</v>
      </c>
      <c r="Q17" s="1">
        <v>22.2</v>
      </c>
      <c r="R17" s="1">
        <v>1430</v>
      </c>
    </row>
    <row r="18" ht="105.95" spans="1:18">
      <c r="A18" s="1" t="s">
        <v>992</v>
      </c>
      <c r="B18" t="str">
        <f>_xlfn.DISPIMG("ID_988B0A435E5F4A1AAFD3650AE850CCBC",1)</f>
        <v>=DISPIMG("ID_988B0A435E5F4A1AAFD3650AE850CCBC",1)</v>
      </c>
      <c r="C18" s="1">
        <v>16</v>
      </c>
      <c r="D18" s="1">
        <v>27.8</v>
      </c>
      <c r="E18" s="1">
        <v>22.2</v>
      </c>
      <c r="F18" s="1">
        <v>27.4</v>
      </c>
      <c r="G18" s="1">
        <v>26.1</v>
      </c>
      <c r="H18" s="1">
        <v>22</v>
      </c>
      <c r="I18" s="1">
        <v>24.8</v>
      </c>
      <c r="J18" s="1">
        <v>17.2</v>
      </c>
      <c r="K18" s="1">
        <v>20.5</v>
      </c>
      <c r="L18" s="1">
        <v>126</v>
      </c>
      <c r="M18" s="1">
        <v>85</v>
      </c>
      <c r="N18" s="1">
        <v>88</v>
      </c>
      <c r="O18" s="1">
        <v>52</v>
      </c>
      <c r="P18" s="1">
        <v>22.1</v>
      </c>
      <c r="Q18" s="1">
        <v>24.5</v>
      </c>
      <c r="R18" s="1">
        <v>1450</v>
      </c>
    </row>
    <row r="19" ht="104.75" spans="1:18">
      <c r="A19" s="1" t="s">
        <v>993</v>
      </c>
      <c r="B19" t="str">
        <f>_xlfn.DISPIMG("ID_B577A3A5BD7B4C8692A9D0CD413DBFDA",1)</f>
        <v>=DISPIMG("ID_B577A3A5BD7B4C8692A9D0CD413DBFDA",1)</v>
      </c>
      <c r="C19" s="1">
        <v>17</v>
      </c>
      <c r="D19" s="1">
        <v>25.8</v>
      </c>
      <c r="E19" s="1">
        <v>20.6</v>
      </c>
      <c r="F19" s="1">
        <v>25.8</v>
      </c>
      <c r="G19" s="1">
        <v>24.7</v>
      </c>
      <c r="H19" s="1">
        <v>19</v>
      </c>
      <c r="I19" s="1">
        <v>23.6</v>
      </c>
      <c r="J19" s="1">
        <v>19</v>
      </c>
      <c r="K19" s="1">
        <v>22.1</v>
      </c>
      <c r="L19" s="1">
        <v>145</v>
      </c>
      <c r="M19" s="1">
        <v>88</v>
      </c>
      <c r="N19" s="1">
        <v>93</v>
      </c>
      <c r="O19" s="1">
        <v>55</v>
      </c>
      <c r="P19" s="1">
        <v>23.9</v>
      </c>
      <c r="Q19" s="1">
        <v>22</v>
      </c>
      <c r="R19" s="1">
        <v>1440</v>
      </c>
    </row>
    <row r="20" ht="103" spans="1:18">
      <c r="A20" s="1" t="s">
        <v>994</v>
      </c>
      <c r="B20" t="str">
        <f>_xlfn.DISPIMG("ID_5B199EC2E871408C8FFDC54B00F70D87",1)</f>
        <v>=DISPIMG("ID_5B199EC2E871408C8FFDC54B00F70D87",1)</v>
      </c>
      <c r="C20" s="1">
        <v>18</v>
      </c>
      <c r="D20" s="1">
        <v>28.6</v>
      </c>
      <c r="E20" s="1">
        <v>28</v>
      </c>
      <c r="F20" s="1">
        <v>30.1</v>
      </c>
      <c r="G20" s="1">
        <v>27.3</v>
      </c>
      <c r="H20" s="1">
        <v>27.9</v>
      </c>
      <c r="I20" s="1">
        <v>26</v>
      </c>
      <c r="J20" s="1">
        <v>23.7</v>
      </c>
      <c r="K20" s="1">
        <v>23.7</v>
      </c>
      <c r="L20" s="1">
        <v>182</v>
      </c>
      <c r="M20" s="1">
        <v>98</v>
      </c>
      <c r="N20" s="1">
        <v>106</v>
      </c>
      <c r="O20" s="1">
        <v>74</v>
      </c>
      <c r="P20" s="1">
        <v>31.6</v>
      </c>
      <c r="Q20" s="1">
        <v>34.1</v>
      </c>
      <c r="R20" s="1">
        <v>1650</v>
      </c>
    </row>
    <row r="21" ht="104.15" spans="1:18">
      <c r="A21" s="1" t="s">
        <v>995</v>
      </c>
      <c r="B21" t="str">
        <f>_xlfn.DISPIMG("ID_AA1F5563B67C4A0498EB5E72F42E86F2",1)</f>
        <v>=DISPIMG("ID_AA1F5563B67C4A0498EB5E72F42E86F2",1)</v>
      </c>
      <c r="C21" s="1">
        <v>19</v>
      </c>
      <c r="D21" s="1">
        <v>28.4</v>
      </c>
      <c r="E21" s="1">
        <v>28</v>
      </c>
      <c r="F21" s="1">
        <v>27.8</v>
      </c>
      <c r="G21" s="1">
        <v>26.5</v>
      </c>
      <c r="H21" s="1">
        <v>22.1</v>
      </c>
      <c r="I21" s="1">
        <v>25.8</v>
      </c>
      <c r="J21" s="1">
        <v>23.5</v>
      </c>
      <c r="K21" s="1">
        <v>23.5</v>
      </c>
      <c r="L21" s="1">
        <v>141</v>
      </c>
      <c r="M21" s="1">
        <v>102</v>
      </c>
      <c r="N21" s="1">
        <v>147</v>
      </c>
      <c r="O21" s="1">
        <v>67</v>
      </c>
      <c r="P21" s="1">
        <v>33.6</v>
      </c>
      <c r="Q21" s="1">
        <v>31.3</v>
      </c>
      <c r="R21" s="1">
        <v>1610</v>
      </c>
    </row>
    <row r="22" ht="105.1" spans="1:18">
      <c r="A22" s="1" t="s">
        <v>996</v>
      </c>
      <c r="B22" t="str">
        <f>_xlfn.DISPIMG("ID_466A20D3E7E242ECA4FA1BA8C6313BDF",1)</f>
        <v>=DISPIMG("ID_466A20D3E7E242ECA4FA1BA8C6313BDF",1)</v>
      </c>
      <c r="C22" s="1">
        <v>20</v>
      </c>
      <c r="D22" s="1">
        <v>29.2</v>
      </c>
      <c r="E22" s="1">
        <v>24.4</v>
      </c>
      <c r="F22" s="1">
        <v>29.3</v>
      </c>
      <c r="G22" s="1">
        <v>28.5</v>
      </c>
      <c r="H22" s="1">
        <v>18.5</v>
      </c>
      <c r="I22" s="1">
        <v>23.2</v>
      </c>
      <c r="J22" s="1">
        <v>15.9</v>
      </c>
      <c r="K22" s="1">
        <v>21.9</v>
      </c>
      <c r="L22" s="1">
        <v>153</v>
      </c>
      <c r="M22" s="1">
        <v>140</v>
      </c>
      <c r="N22" s="1">
        <v>95</v>
      </c>
      <c r="O22" s="1">
        <v>100</v>
      </c>
      <c r="P22" s="1">
        <v>27.4</v>
      </c>
      <c r="Q22" s="1">
        <v>30.5</v>
      </c>
      <c r="R22" s="1">
        <v>1550</v>
      </c>
    </row>
    <row r="23" ht="103.9" spans="1:18">
      <c r="A23" s="1" t="s">
        <v>997</v>
      </c>
      <c r="B23" t="str">
        <f>_xlfn.DISPIMG("ID_5ACA6C4478E149B5AE0C085FC9F06AC8",1)</f>
        <v>=DISPIMG("ID_5ACA6C4478E149B5AE0C085FC9F06AC8",1)</v>
      </c>
      <c r="C23" s="1">
        <v>21</v>
      </c>
      <c r="D23" s="1">
        <v>22.2</v>
      </c>
      <c r="E23" s="1">
        <v>17</v>
      </c>
      <c r="F23" s="1">
        <v>22.7</v>
      </c>
      <c r="G23" s="1">
        <v>21.8</v>
      </c>
      <c r="H23" s="1">
        <v>24.8</v>
      </c>
      <c r="I23" s="1">
        <v>21.8</v>
      </c>
      <c r="J23" s="1">
        <v>15.1</v>
      </c>
      <c r="K23" s="1">
        <v>25.8</v>
      </c>
      <c r="L23" s="1">
        <v>90</v>
      </c>
      <c r="M23" s="1">
        <v>64</v>
      </c>
      <c r="N23" s="1">
        <v>73</v>
      </c>
      <c r="O23" s="1">
        <v>92</v>
      </c>
      <c r="P23" s="1">
        <v>15.6</v>
      </c>
      <c r="Q23" s="1">
        <v>20.3</v>
      </c>
      <c r="R23" s="1">
        <v>1320</v>
      </c>
    </row>
    <row r="24" ht="103.7" spans="1:18">
      <c r="A24" s="1" t="s">
        <v>998</v>
      </c>
      <c r="B24" t="str">
        <f>_xlfn.DISPIMG("ID_164657F195484279A1C6E97D531F5174",1)</f>
        <v>=DISPIMG("ID_164657F195484279A1C6E97D531F5174",1)</v>
      </c>
      <c r="C24" s="1">
        <v>22</v>
      </c>
      <c r="D24" s="1">
        <v>28.5</v>
      </c>
      <c r="E24" s="1">
        <v>22.1</v>
      </c>
      <c r="F24" s="1">
        <v>27.9</v>
      </c>
      <c r="G24" s="1">
        <v>25.9</v>
      </c>
      <c r="H24" s="1">
        <v>29.3</v>
      </c>
      <c r="I24" s="1">
        <v>22.1</v>
      </c>
      <c r="J24" s="1">
        <v>15.3</v>
      </c>
      <c r="K24" s="1">
        <v>22.1</v>
      </c>
      <c r="L24" s="1">
        <v>145</v>
      </c>
      <c r="M24" s="1">
        <v>80</v>
      </c>
      <c r="N24" s="1">
        <v>88</v>
      </c>
      <c r="O24" s="1">
        <v>66</v>
      </c>
      <c r="P24" s="1">
        <v>21.7</v>
      </c>
      <c r="Q24" s="1">
        <v>25.7</v>
      </c>
      <c r="R24" s="1">
        <v>1480</v>
      </c>
    </row>
    <row r="25" ht="104.65" spans="1:18">
      <c r="A25" s="1" t="s">
        <v>999</v>
      </c>
      <c r="B25" t="str">
        <f>_xlfn.DISPIMG("ID_16AFE0D34E5A41C6BB12CE7E9F558002",1)</f>
        <v>=DISPIMG("ID_16AFE0D34E5A41C6BB12CE7E9F558002",1)</v>
      </c>
      <c r="C25" s="1">
        <v>23</v>
      </c>
      <c r="D25" s="1">
        <v>28.5</v>
      </c>
      <c r="E25" s="1">
        <v>23.6</v>
      </c>
      <c r="F25" s="1">
        <v>27.9</v>
      </c>
      <c r="G25" s="1">
        <v>22.1</v>
      </c>
      <c r="H25" s="1">
        <v>12.3</v>
      </c>
      <c r="I25" s="1">
        <v>17.2</v>
      </c>
      <c r="J25" s="1">
        <v>12.3</v>
      </c>
      <c r="K25" s="1">
        <v>15.3</v>
      </c>
      <c r="L25" s="1">
        <v>145</v>
      </c>
      <c r="M25" s="1">
        <v>80</v>
      </c>
      <c r="N25" s="1">
        <v>84</v>
      </c>
      <c r="O25" s="1">
        <v>48</v>
      </c>
      <c r="P25" s="1">
        <v>19.6</v>
      </c>
      <c r="Q25" s="1">
        <v>20.9</v>
      </c>
      <c r="R25" s="1">
        <v>1400</v>
      </c>
    </row>
    <row r="26" ht="104.55" spans="1:18">
      <c r="A26" s="1" t="s">
        <v>1000</v>
      </c>
      <c r="B26" t="str">
        <f>_xlfn.DISPIMG("ID_457ADCFFCED24946B6DF46486096810C",1)</f>
        <v>=DISPIMG("ID_457ADCFFCED24946B6DF46486096810C",1)</v>
      </c>
      <c r="C26" s="1">
        <v>24</v>
      </c>
      <c r="D26" s="1">
        <v>27.9</v>
      </c>
      <c r="E26" s="1">
        <v>20.6</v>
      </c>
      <c r="F26" s="1">
        <v>27.4</v>
      </c>
      <c r="G26" s="1">
        <v>28.9</v>
      </c>
      <c r="H26" s="1">
        <v>19</v>
      </c>
      <c r="I26" s="1">
        <v>27</v>
      </c>
      <c r="J26" s="1">
        <v>12.3</v>
      </c>
      <c r="K26" s="1">
        <v>24.7</v>
      </c>
      <c r="L26" s="1">
        <v>105</v>
      </c>
      <c r="M26" s="1">
        <v>84</v>
      </c>
      <c r="N26" s="1">
        <v>88</v>
      </c>
      <c r="O26" s="1">
        <v>73</v>
      </c>
      <c r="P26" s="1">
        <v>27.8</v>
      </c>
      <c r="Q26" s="1">
        <v>26.5</v>
      </c>
      <c r="R26" s="1">
        <v>1480</v>
      </c>
    </row>
    <row r="27" ht="104.2" spans="1:18">
      <c r="A27" s="1" t="s">
        <v>1001</v>
      </c>
      <c r="B27" t="str">
        <f>_xlfn.DISPIMG("ID_4FA758AEF0674A0296C847CA1A5A02BE",1)</f>
        <v>=DISPIMG("ID_4FA758AEF0674A0296C847CA1A5A02BE",1)</v>
      </c>
      <c r="C27" s="1">
        <v>25</v>
      </c>
      <c r="D27" s="1">
        <v>27.6</v>
      </c>
      <c r="E27" s="1">
        <v>25.4</v>
      </c>
      <c r="F27" s="1">
        <v>27.3</v>
      </c>
      <c r="G27" s="1">
        <v>27.7</v>
      </c>
      <c r="H27" s="1">
        <v>23</v>
      </c>
      <c r="I27" s="1">
        <v>24.3</v>
      </c>
      <c r="J27" s="1">
        <v>16.5</v>
      </c>
      <c r="K27" s="1">
        <v>24.3</v>
      </c>
      <c r="L27" s="1">
        <v>153</v>
      </c>
      <c r="M27" s="1">
        <v>111</v>
      </c>
      <c r="N27" s="1">
        <v>122</v>
      </c>
      <c r="O27" s="1">
        <v>87</v>
      </c>
      <c r="P27" s="1">
        <v>35.7</v>
      </c>
      <c r="Q27" s="1">
        <v>30.9</v>
      </c>
      <c r="R27" s="1">
        <v>1560</v>
      </c>
    </row>
    <row r="28" ht="103.95" spans="1:18">
      <c r="A28" s="1" t="s">
        <v>1002</v>
      </c>
      <c r="B28" t="str">
        <f>_xlfn.DISPIMG("ID_99A4DD64B22543999C55071C4BA257AC",1)</f>
        <v>=DISPIMG("ID_99A4DD64B22543999C55071C4BA257AC",1)</v>
      </c>
      <c r="C28" s="1">
        <v>26</v>
      </c>
      <c r="D28" s="1">
        <v>24.6</v>
      </c>
      <c r="E28" s="1">
        <v>18</v>
      </c>
      <c r="F28" s="1">
        <v>29.6</v>
      </c>
      <c r="G28" s="1">
        <v>22.3</v>
      </c>
      <c r="H28" s="1">
        <v>15.5</v>
      </c>
      <c r="I28" s="1">
        <v>25.2</v>
      </c>
      <c r="J28" s="1">
        <v>14.6</v>
      </c>
      <c r="K28" s="1">
        <v>15.5</v>
      </c>
      <c r="L28" s="1">
        <v>191</v>
      </c>
      <c r="M28" s="1">
        <v>98</v>
      </c>
      <c r="N28" s="1">
        <v>110</v>
      </c>
      <c r="O28" s="1">
        <v>80</v>
      </c>
      <c r="P28" s="1">
        <v>22.6</v>
      </c>
      <c r="Q28" s="1">
        <v>22.8</v>
      </c>
      <c r="R28" s="1">
        <v>1370</v>
      </c>
    </row>
    <row r="29" ht="104.55" spans="1:18">
      <c r="A29" s="1" t="s">
        <v>1003</v>
      </c>
      <c r="B29" t="str">
        <f>_xlfn.DISPIMG("ID_44FE138A2EB54DB3B1E24271B01C0AED",1)</f>
        <v>=DISPIMG("ID_44FE138A2EB54DB3B1E24271B01C0AED",1)</v>
      </c>
      <c r="C29" s="1">
        <v>27</v>
      </c>
      <c r="D29" s="1">
        <v>23.5</v>
      </c>
      <c r="E29" s="1">
        <v>17.1</v>
      </c>
      <c r="F29" s="1">
        <v>28.3</v>
      </c>
      <c r="G29" s="1">
        <v>24.6</v>
      </c>
      <c r="H29" s="1">
        <v>15.3</v>
      </c>
      <c r="I29" s="1">
        <v>15.3</v>
      </c>
      <c r="J29" s="1">
        <v>15.3</v>
      </c>
      <c r="K29" s="1">
        <v>12.3</v>
      </c>
      <c r="L29" s="1">
        <v>159</v>
      </c>
      <c r="M29" s="1">
        <v>66</v>
      </c>
      <c r="N29" s="1">
        <v>80</v>
      </c>
      <c r="O29" s="1">
        <v>55</v>
      </c>
      <c r="P29" s="1">
        <v>15.7</v>
      </c>
      <c r="Q29" s="1">
        <v>20.5</v>
      </c>
      <c r="R29" s="1">
        <v>1400</v>
      </c>
    </row>
    <row r="30" ht="104.7" spans="1:18">
      <c r="A30" s="1" t="s">
        <v>1004</v>
      </c>
      <c r="B30" t="str">
        <f>_xlfn.DISPIMG("ID_B8AF8356E6624F7E9E8CC2087AF65AAA",1)</f>
        <v>=DISPIMG("ID_B8AF8356E6624F7E9E8CC2087AF65AAA",1)</v>
      </c>
      <c r="C30" s="1">
        <v>28</v>
      </c>
      <c r="D30" s="1">
        <v>32.4</v>
      </c>
      <c r="E30" s="1">
        <v>28.2</v>
      </c>
      <c r="F30" s="1">
        <v>34.5</v>
      </c>
      <c r="G30" s="1">
        <v>31.1</v>
      </c>
      <c r="H30" s="1">
        <v>24.7</v>
      </c>
      <c r="I30" s="1">
        <v>27</v>
      </c>
      <c r="J30" s="1">
        <v>31.7</v>
      </c>
      <c r="K30" s="1">
        <v>28.3</v>
      </c>
      <c r="L30" s="1">
        <v>184</v>
      </c>
      <c r="M30" s="1">
        <v>141</v>
      </c>
      <c r="N30" s="1">
        <v>141</v>
      </c>
      <c r="O30" s="1">
        <v>85</v>
      </c>
      <c r="P30" s="1">
        <v>45.3</v>
      </c>
      <c r="Q30" s="1">
        <v>42.7</v>
      </c>
      <c r="R30" s="1">
        <v>1860</v>
      </c>
    </row>
    <row r="31" ht="104.1" spans="1:18">
      <c r="A31" s="1" t="s">
        <v>1005</v>
      </c>
      <c r="B31" t="str">
        <f>_xlfn.DISPIMG("ID_84E3E47FE0A44B60A9EF1EC885A18C3E",1)</f>
        <v>=DISPIMG("ID_84E3E47FE0A44B60A9EF1EC885A18C3E",1)</v>
      </c>
      <c r="C31" s="1">
        <v>29</v>
      </c>
      <c r="D31" s="1">
        <v>31.4</v>
      </c>
      <c r="E31" s="1">
        <v>28.3</v>
      </c>
      <c r="F31" s="1">
        <v>30.6</v>
      </c>
      <c r="G31" s="1">
        <v>29.9</v>
      </c>
      <c r="H31" s="1">
        <v>30</v>
      </c>
      <c r="I31" s="1">
        <v>29.3</v>
      </c>
      <c r="J31" s="1">
        <v>28.8</v>
      </c>
      <c r="K31" s="1">
        <v>18.6</v>
      </c>
      <c r="L31" s="1">
        <v>159</v>
      </c>
      <c r="M31" s="1">
        <v>91</v>
      </c>
      <c r="N31" s="1">
        <v>141</v>
      </c>
      <c r="O31" s="1">
        <v>87</v>
      </c>
      <c r="P31" s="1">
        <v>39.8</v>
      </c>
      <c r="Q31" s="1">
        <v>39.1</v>
      </c>
      <c r="R31" s="1">
        <v>1770</v>
      </c>
    </row>
    <row r="32" ht="105.55" spans="1:18">
      <c r="A32" s="1" t="s">
        <v>1006</v>
      </c>
      <c r="B32" t="str">
        <f>_xlfn.DISPIMG("ID_8D9CB13D197B43B2A63C417484423DD9",1)</f>
        <v>=DISPIMG("ID_8D9CB13D197B43B2A63C417484423DD9",1)</v>
      </c>
      <c r="C32" s="1">
        <v>30</v>
      </c>
      <c r="D32" s="1">
        <v>40.4</v>
      </c>
      <c r="E32" s="1">
        <v>34.3</v>
      </c>
      <c r="F32" s="1">
        <v>40.4</v>
      </c>
      <c r="G32" s="1">
        <v>40.3</v>
      </c>
      <c r="H32" s="1">
        <v>27.2</v>
      </c>
      <c r="I32" s="1">
        <v>28.1</v>
      </c>
      <c r="J32" s="1">
        <v>24.8</v>
      </c>
      <c r="K32" s="1">
        <v>27.2</v>
      </c>
      <c r="L32" s="1">
        <v>178</v>
      </c>
      <c r="M32" s="1">
        <v>141</v>
      </c>
      <c r="N32" s="1">
        <v>125</v>
      </c>
      <c r="O32" s="1">
        <v>86</v>
      </c>
      <c r="P32" s="1">
        <v>45.8</v>
      </c>
      <c r="Q32" s="1">
        <v>36.9</v>
      </c>
      <c r="R32" s="1">
        <v>1800</v>
      </c>
    </row>
    <row r="33" ht="105.4" spans="1:18">
      <c r="A33" s="1" t="s">
        <v>1007</v>
      </c>
      <c r="B33" t="str">
        <f>_xlfn.DISPIMG("ID_7AF3C3A9477F42FCB95A2B84FE991F45",1)</f>
        <v>=DISPIMG("ID_7AF3C3A9477F42FCB95A2B84FE991F45",1)</v>
      </c>
      <c r="C33" s="1">
        <v>31</v>
      </c>
      <c r="D33" s="1">
        <v>30.1</v>
      </c>
      <c r="E33" s="1">
        <v>25</v>
      </c>
      <c r="F33" s="1">
        <v>31.8</v>
      </c>
      <c r="G33" s="1">
        <v>28.5</v>
      </c>
      <c r="H33" s="1">
        <v>26.1</v>
      </c>
      <c r="I33" s="1">
        <v>29</v>
      </c>
      <c r="J33" s="1">
        <v>19.4</v>
      </c>
      <c r="K33" s="1">
        <v>23.9</v>
      </c>
      <c r="L33" s="1">
        <v>175</v>
      </c>
      <c r="M33" s="1">
        <v>100</v>
      </c>
      <c r="N33" s="1">
        <v>131</v>
      </c>
      <c r="O33" s="1">
        <v>80</v>
      </c>
      <c r="P33" s="1">
        <v>39.1</v>
      </c>
      <c r="Q33" s="1">
        <v>36</v>
      </c>
      <c r="R33" s="1">
        <v>1680</v>
      </c>
    </row>
    <row r="34" ht="103.65" spans="1:18">
      <c r="A34" s="1" t="s">
        <v>1008</v>
      </c>
      <c r="B34" t="str">
        <f>_xlfn.DISPIMG("ID_3E6C75F9E90642D984B793D9096DF587",1)</f>
        <v>=DISPIMG("ID_3E6C75F9E90642D984B793D9096DF587",1)</v>
      </c>
      <c r="C34" s="1">
        <v>32</v>
      </c>
      <c r="D34" s="1">
        <v>31.2</v>
      </c>
      <c r="E34" s="1">
        <v>31</v>
      </c>
      <c r="F34" s="1">
        <v>28.5</v>
      </c>
      <c r="G34" s="1">
        <v>32.8</v>
      </c>
      <c r="H34" s="1">
        <v>30.1</v>
      </c>
      <c r="I34" s="1">
        <v>27.9</v>
      </c>
      <c r="J34" s="1">
        <v>29.6</v>
      </c>
      <c r="K34" s="1">
        <v>25</v>
      </c>
      <c r="L34" s="1">
        <v>156</v>
      </c>
      <c r="M34" s="1">
        <v>147</v>
      </c>
      <c r="N34" s="1">
        <v>147</v>
      </c>
      <c r="O34" s="1">
        <v>108</v>
      </c>
      <c r="P34" s="1">
        <v>43.3</v>
      </c>
      <c r="Q34" s="1">
        <v>41.1</v>
      </c>
      <c r="R34" s="1">
        <v>1840</v>
      </c>
    </row>
    <row r="35" ht="104.6" spans="1:18">
      <c r="A35" s="1" t="s">
        <v>1009</v>
      </c>
      <c r="B35" t="str">
        <f>_xlfn.DISPIMG("ID_373F7ED13D1549E684E847A15A302D29",1)</f>
        <v>=DISPIMG("ID_373F7ED13D1549E684E847A15A302D29",1)</v>
      </c>
      <c r="C35" s="1">
        <v>33</v>
      </c>
      <c r="D35" s="1">
        <v>31.9</v>
      </c>
      <c r="E35" s="1">
        <v>28.4</v>
      </c>
      <c r="F35" s="1">
        <v>31.1</v>
      </c>
      <c r="G35" s="1">
        <v>30.2</v>
      </c>
      <c r="H35" s="1">
        <v>28.8</v>
      </c>
      <c r="I35" s="1">
        <v>29.4</v>
      </c>
      <c r="J35" s="1">
        <v>30.2</v>
      </c>
      <c r="K35" s="1">
        <v>33.7</v>
      </c>
      <c r="L35" s="1">
        <v>168</v>
      </c>
      <c r="M35" s="1">
        <v>142</v>
      </c>
      <c r="N35" s="1">
        <v>157</v>
      </c>
      <c r="O35" s="1">
        <v>100</v>
      </c>
      <c r="P35" s="1">
        <v>44.7</v>
      </c>
      <c r="Q35" s="1">
        <v>43.7</v>
      </c>
      <c r="R35" s="1">
        <v>1890</v>
      </c>
    </row>
    <row r="36" ht="105" spans="1:18">
      <c r="A36" s="1" t="s">
        <v>1010</v>
      </c>
      <c r="B36" t="str">
        <f>_xlfn.DISPIMG("ID_AC36B2092EA747649B4900EC5FBFE5E8",1)</f>
        <v>=DISPIMG("ID_AC36B2092EA747649B4900EC5FBFE5E8",1)</v>
      </c>
      <c r="C36" s="1">
        <v>34</v>
      </c>
      <c r="D36" s="1">
        <v>32.1</v>
      </c>
      <c r="E36" s="1">
        <v>27.9</v>
      </c>
      <c r="F36" s="1">
        <v>30.7</v>
      </c>
      <c r="G36" s="1">
        <v>24.2</v>
      </c>
      <c r="H36" s="1">
        <v>27.9</v>
      </c>
      <c r="I36" s="1">
        <v>27</v>
      </c>
      <c r="J36" s="1">
        <v>27.9</v>
      </c>
      <c r="K36" s="1">
        <v>27</v>
      </c>
      <c r="L36" s="1">
        <v>159</v>
      </c>
      <c r="M36" s="1">
        <v>145</v>
      </c>
      <c r="N36" s="1">
        <v>165</v>
      </c>
      <c r="O36" s="1">
        <v>88</v>
      </c>
      <c r="P36" s="1">
        <v>38.7</v>
      </c>
      <c r="Q36" s="1">
        <v>39.2</v>
      </c>
      <c r="R36" s="1">
        <v>1800</v>
      </c>
    </row>
    <row r="37" ht="106.7" spans="1:18">
      <c r="A37" s="1" t="s">
        <v>1011</v>
      </c>
      <c r="B37" t="str">
        <f>_xlfn.DISPIMG("ID_F0D2F1569438465495D519BE4D87BF4E",1)</f>
        <v>=DISPIMG("ID_F0D2F1569438465495D519BE4D87BF4E",1)</v>
      </c>
      <c r="C37" s="1">
        <v>35</v>
      </c>
      <c r="D37" s="1">
        <v>33.8</v>
      </c>
      <c r="E37" s="1">
        <v>33.1</v>
      </c>
      <c r="F37" s="1">
        <v>35.8</v>
      </c>
      <c r="G37" s="1">
        <v>35.4</v>
      </c>
      <c r="H37" s="1">
        <v>26.5</v>
      </c>
      <c r="I37" s="1">
        <v>25.9</v>
      </c>
      <c r="J37" s="1">
        <v>25.6</v>
      </c>
      <c r="K37" s="1">
        <v>27</v>
      </c>
      <c r="L37" s="1">
        <v>135</v>
      </c>
      <c r="M37" s="1">
        <v>146</v>
      </c>
      <c r="N37" s="1">
        <v>136</v>
      </c>
      <c r="O37" s="1">
        <v>143</v>
      </c>
      <c r="P37" s="1">
        <v>36.7</v>
      </c>
      <c r="Q37" s="1">
        <v>33.4</v>
      </c>
      <c r="R37" s="1">
        <v>1480</v>
      </c>
    </row>
    <row r="38" ht="105.35" spans="1:18">
      <c r="A38" s="1" t="s">
        <v>1012</v>
      </c>
      <c r="B38" t="str">
        <f>_xlfn.DISPIMG("ID_E70EDDBD0CBD442883CF818C7A9E5F6B",1)</f>
        <v>=DISPIMG("ID_E70EDDBD0CBD442883CF818C7A9E5F6B",1)</v>
      </c>
      <c r="C38" s="1">
        <v>36</v>
      </c>
      <c r="D38" s="1">
        <v>29.3</v>
      </c>
      <c r="E38" s="1">
        <v>27.9</v>
      </c>
      <c r="F38" s="1">
        <v>34.9</v>
      </c>
      <c r="G38" s="1">
        <v>29.3</v>
      </c>
      <c r="H38" s="1">
        <v>27.3</v>
      </c>
      <c r="I38" s="1">
        <v>24.6</v>
      </c>
      <c r="J38" s="1">
        <v>25.9</v>
      </c>
      <c r="K38" s="1">
        <v>22.1</v>
      </c>
      <c r="L38" s="1">
        <v>143</v>
      </c>
      <c r="M38" s="1">
        <v>138</v>
      </c>
      <c r="N38" s="1">
        <v>78</v>
      </c>
      <c r="O38" s="1">
        <v>71</v>
      </c>
      <c r="P38" s="1">
        <v>38.3</v>
      </c>
      <c r="Q38" s="1">
        <v>30.5</v>
      </c>
      <c r="R38" s="1">
        <v>1600</v>
      </c>
    </row>
    <row r="39" ht="102.9" spans="1:18">
      <c r="A39" s="1" t="s">
        <v>1013</v>
      </c>
      <c r="B39" t="str">
        <f>_xlfn.DISPIMG("ID_82F6ABAFFE594DADB10E0BE0D62DD6FB",1)</f>
        <v>=DISPIMG("ID_82F6ABAFFE594DADB10E0BE0D62DD6FB",1)</v>
      </c>
      <c r="C39" s="1">
        <v>37</v>
      </c>
      <c r="D39" s="1">
        <v>28.6</v>
      </c>
      <c r="E39" s="1">
        <v>20.8</v>
      </c>
      <c r="F39" s="1">
        <v>27.5</v>
      </c>
      <c r="G39" s="1">
        <v>27.9</v>
      </c>
      <c r="H39" s="1">
        <v>19.2</v>
      </c>
      <c r="I39" s="1">
        <v>23.7</v>
      </c>
      <c r="J39" s="1">
        <v>19.2</v>
      </c>
      <c r="K39" s="1">
        <v>13</v>
      </c>
      <c r="L39" s="1">
        <v>111</v>
      </c>
      <c r="M39" s="1">
        <v>89</v>
      </c>
      <c r="N39" s="1">
        <v>203</v>
      </c>
      <c r="O39" s="1">
        <v>45</v>
      </c>
      <c r="P39" s="1">
        <v>25</v>
      </c>
      <c r="Q39" s="1">
        <v>25.9</v>
      </c>
      <c r="R39" s="1">
        <v>1470</v>
      </c>
    </row>
    <row r="40" ht="104.6" spans="1:18">
      <c r="A40" s="1" t="s">
        <v>1014</v>
      </c>
      <c r="B40" t="str">
        <f>_xlfn.DISPIMG("ID_9E603493868C4828971BAC6D0489E9F4",1)</f>
        <v>=DISPIMG("ID_9E603493868C4828971BAC6D0489E9F4",1)</v>
      </c>
      <c r="C40" s="1">
        <v>38</v>
      </c>
      <c r="D40" s="1">
        <v>19.3</v>
      </c>
      <c r="E40" s="1">
        <v>11</v>
      </c>
      <c r="F40" s="1">
        <v>19.3</v>
      </c>
      <c r="G40" s="1">
        <v>17.7</v>
      </c>
      <c r="H40" s="1">
        <v>28.8</v>
      </c>
      <c r="I40" s="1">
        <v>20.7</v>
      </c>
      <c r="J40" s="1">
        <v>26.5</v>
      </c>
      <c r="K40" s="1">
        <v>29.8</v>
      </c>
      <c r="L40" s="1">
        <v>92</v>
      </c>
      <c r="M40" s="1">
        <v>82</v>
      </c>
      <c r="N40" s="1">
        <v>188</v>
      </c>
      <c r="O40" s="1">
        <v>65</v>
      </c>
      <c r="P40" s="1">
        <v>11.5</v>
      </c>
      <c r="Q40" s="1">
        <v>16.5</v>
      </c>
      <c r="R40" s="1">
        <v>1110</v>
      </c>
    </row>
    <row r="41" ht="105" spans="1:18">
      <c r="A41" s="1" t="s">
        <v>1015</v>
      </c>
      <c r="B41" t="str">
        <f>_xlfn.DISPIMG("ID_FC290E73239A427AABEC9276B679474E",1)</f>
        <v>=DISPIMG("ID_FC290E73239A427AABEC9276B679474E",1)</v>
      </c>
      <c r="C41" s="1">
        <v>39</v>
      </c>
      <c r="D41" s="1">
        <v>27.7</v>
      </c>
      <c r="E41" s="1">
        <v>14.9</v>
      </c>
      <c r="F41" s="1">
        <v>22.4</v>
      </c>
      <c r="G41" s="1">
        <v>22.2</v>
      </c>
      <c r="H41" s="1">
        <v>24.6</v>
      </c>
      <c r="I41" s="1">
        <v>26.5</v>
      </c>
      <c r="J41" s="1">
        <v>17</v>
      </c>
      <c r="K41" s="1">
        <v>23.3</v>
      </c>
      <c r="L41" s="1">
        <v>104</v>
      </c>
      <c r="M41" s="1">
        <v>73</v>
      </c>
      <c r="N41" s="1">
        <v>83</v>
      </c>
      <c r="O41" s="1">
        <v>60</v>
      </c>
      <c r="P41" s="1">
        <v>19.6</v>
      </c>
      <c r="Q41" s="1">
        <v>23.1</v>
      </c>
      <c r="R41" s="1">
        <v>1420</v>
      </c>
    </row>
    <row r="42" ht="104.1" spans="1:18">
      <c r="A42" s="1" t="s">
        <v>1016</v>
      </c>
      <c r="B42" t="str">
        <f>_xlfn.DISPIMG("ID_42E28A6CD00445DBA179E6DB9E833AE5",1)</f>
        <v>=DISPIMG("ID_42E28A6CD00445DBA179E6DB9E833AE5",1)</v>
      </c>
      <c r="C42" s="1">
        <v>40</v>
      </c>
      <c r="D42" s="1">
        <v>22.6</v>
      </c>
      <c r="E42" s="1">
        <v>15.4</v>
      </c>
      <c r="F42" s="1">
        <v>26.8</v>
      </c>
      <c r="G42" s="1">
        <v>25.5</v>
      </c>
      <c r="H42" s="1">
        <v>17.9</v>
      </c>
      <c r="I42" s="1">
        <v>13.3</v>
      </c>
      <c r="J42" s="1">
        <v>18.7</v>
      </c>
      <c r="K42" s="1">
        <v>20.3</v>
      </c>
      <c r="L42" s="1">
        <v>92</v>
      </c>
      <c r="M42" s="1">
        <v>72</v>
      </c>
      <c r="N42" s="1">
        <v>129</v>
      </c>
      <c r="O42" s="1">
        <v>48</v>
      </c>
      <c r="P42" s="1">
        <v>13.5</v>
      </c>
      <c r="Q42" s="1">
        <v>16.9</v>
      </c>
      <c r="R42" s="1">
        <v>1110</v>
      </c>
    </row>
    <row r="43" ht="103.6" spans="1:18">
      <c r="A43" s="1" t="s">
        <v>1017</v>
      </c>
      <c r="B43" t="str">
        <f>_xlfn.DISPIMG("ID_B54677529292452090A1AD90155FF4D1",1)</f>
        <v>=DISPIMG("ID_B54677529292452090A1AD90155FF4D1",1)</v>
      </c>
      <c r="C43" s="1">
        <v>41</v>
      </c>
      <c r="D43" s="1">
        <v>28.4</v>
      </c>
      <c r="E43" s="1">
        <v>21</v>
      </c>
      <c r="F43" s="1">
        <v>25.8</v>
      </c>
      <c r="G43" s="1">
        <v>24.7</v>
      </c>
      <c r="H43" s="1">
        <v>21.4</v>
      </c>
      <c r="I43" s="1">
        <v>17.7</v>
      </c>
      <c r="J43" s="1">
        <v>10</v>
      </c>
      <c r="K43" s="1">
        <v>21</v>
      </c>
      <c r="L43" s="1">
        <v>94</v>
      </c>
      <c r="M43" s="1">
        <v>73</v>
      </c>
      <c r="N43" s="1">
        <v>81</v>
      </c>
      <c r="O43" s="1">
        <v>35</v>
      </c>
      <c r="P43" s="1">
        <v>20.2</v>
      </c>
      <c r="Q43" s="1">
        <v>22.4</v>
      </c>
      <c r="R43" s="1">
        <v>1400</v>
      </c>
    </row>
    <row r="44" ht="104.8" spans="1:18">
      <c r="A44" s="1" t="s">
        <v>1018</v>
      </c>
      <c r="B44" t="str">
        <f>_xlfn.DISPIMG("ID_2ACC565A8EFE41299B8FC770CA5DCAA1",1)</f>
        <v>=DISPIMG("ID_2ACC565A8EFE41299B8FC770CA5DCAA1",1)</v>
      </c>
      <c r="C44" s="1">
        <v>42</v>
      </c>
      <c r="D44" s="1">
        <v>30</v>
      </c>
      <c r="E44" s="1">
        <v>25.1</v>
      </c>
      <c r="F44" s="1">
        <v>27.9</v>
      </c>
      <c r="G44" s="1">
        <v>27.3</v>
      </c>
      <c r="H44" s="1">
        <v>22.4</v>
      </c>
      <c r="I44" s="1">
        <v>29.9</v>
      </c>
      <c r="J44" s="1">
        <v>20.9</v>
      </c>
      <c r="K44" s="1">
        <v>24.8</v>
      </c>
      <c r="L44" s="1">
        <v>141</v>
      </c>
      <c r="M44" s="1">
        <v>100</v>
      </c>
      <c r="N44" s="1">
        <v>95</v>
      </c>
      <c r="O44" s="1">
        <v>95</v>
      </c>
      <c r="P44" s="1">
        <v>29.4</v>
      </c>
      <c r="Q44" s="1">
        <v>32</v>
      </c>
      <c r="R44" s="1">
        <v>1610</v>
      </c>
    </row>
    <row r="45" ht="104.9" spans="1:18">
      <c r="A45" s="1" t="s">
        <v>1019</v>
      </c>
      <c r="B45" t="str">
        <f>_xlfn.DISPIMG("ID_0045260D609C45F29EFFC7FBDE58F1CD",1)</f>
        <v>=DISPIMG("ID_0045260D609C45F29EFFC7FBDE58F1CD",1)</v>
      </c>
      <c r="C45" s="1">
        <v>43</v>
      </c>
      <c r="D45" s="1">
        <v>29.3</v>
      </c>
      <c r="E45" s="1">
        <v>27.1</v>
      </c>
      <c r="F45" s="1">
        <v>30.7</v>
      </c>
      <c r="G45" s="1">
        <v>30.1</v>
      </c>
      <c r="H45" s="1">
        <v>27.8</v>
      </c>
      <c r="I45" s="1">
        <v>26.7</v>
      </c>
      <c r="J45" s="1">
        <v>24.3</v>
      </c>
      <c r="K45" s="1">
        <v>24.3</v>
      </c>
      <c r="L45" s="1">
        <v>147</v>
      </c>
      <c r="M45" s="1">
        <v>120</v>
      </c>
      <c r="N45" s="1">
        <v>109</v>
      </c>
      <c r="O45" s="1">
        <v>86</v>
      </c>
      <c r="P45" s="1">
        <v>37.5</v>
      </c>
      <c r="Q45" s="1">
        <v>34.9</v>
      </c>
      <c r="R45" s="1">
        <v>1630</v>
      </c>
    </row>
    <row r="46" ht="105.1" spans="1:18">
      <c r="A46" s="1" t="s">
        <v>1020</v>
      </c>
      <c r="B46" t="str">
        <f>_xlfn.DISPIMG("ID_9601BF5101714550A5A574513A932C64",1)</f>
        <v>=DISPIMG("ID_9601BF5101714550A5A574513A932C64",1)</v>
      </c>
      <c r="C46" s="1">
        <v>44</v>
      </c>
      <c r="D46" s="1">
        <v>28</v>
      </c>
      <c r="E46" s="1">
        <v>21.6</v>
      </c>
      <c r="F46" s="1">
        <v>31.1</v>
      </c>
      <c r="G46" s="1">
        <v>26.7</v>
      </c>
      <c r="H46" s="1">
        <v>24.1</v>
      </c>
      <c r="I46" s="1">
        <v>28.3</v>
      </c>
      <c r="J46" s="1">
        <v>26.4</v>
      </c>
      <c r="K46" s="1">
        <v>21.5</v>
      </c>
      <c r="L46" s="1">
        <v>130</v>
      </c>
      <c r="M46" s="1">
        <v>89</v>
      </c>
      <c r="N46" s="1">
        <v>93</v>
      </c>
      <c r="O46" s="1">
        <v>101</v>
      </c>
      <c r="P46" s="1">
        <v>27.5</v>
      </c>
      <c r="Q46" s="1">
        <v>26.5</v>
      </c>
      <c r="R46" s="1">
        <v>1420</v>
      </c>
    </row>
    <row r="47" ht="105.5" spans="1:18">
      <c r="A47" s="1" t="s">
        <v>1021</v>
      </c>
      <c r="B47" t="str">
        <f>_xlfn.DISPIMG("ID_D574B1D61BFA4D8C80AD32584739761F",1)</f>
        <v>=DISPIMG("ID_D574B1D61BFA4D8C80AD32584739761F",1)</v>
      </c>
      <c r="C47" s="1">
        <v>45</v>
      </c>
      <c r="D47" s="1">
        <v>29.5</v>
      </c>
      <c r="E47" s="1">
        <v>25.1</v>
      </c>
      <c r="F47" s="1">
        <v>29.6</v>
      </c>
      <c r="G47" s="1">
        <v>29.6</v>
      </c>
      <c r="H47" s="1">
        <v>25.1</v>
      </c>
      <c r="I47" s="1">
        <v>28</v>
      </c>
      <c r="J47" s="1">
        <v>28</v>
      </c>
      <c r="K47" s="1">
        <v>19.5</v>
      </c>
      <c r="L47" s="1">
        <v>151</v>
      </c>
      <c r="M47" s="1">
        <v>94</v>
      </c>
      <c r="N47" s="1">
        <v>99</v>
      </c>
      <c r="O47" s="1">
        <v>85</v>
      </c>
      <c r="P47" s="1">
        <v>34.9</v>
      </c>
      <c r="Q47" s="1">
        <v>32.8</v>
      </c>
      <c r="R47" s="1">
        <v>1640</v>
      </c>
    </row>
    <row r="48" ht="104.05" spans="1:18">
      <c r="A48" s="1" t="s">
        <v>1022</v>
      </c>
      <c r="B48" t="str">
        <f>_xlfn.DISPIMG("ID_3D0204ACAF0F43089C4EFD868556D021",1)</f>
        <v>=DISPIMG("ID_3D0204ACAF0F43089C4EFD868556D021",1)</v>
      </c>
      <c r="C48" s="1">
        <v>46</v>
      </c>
      <c r="D48" s="1">
        <v>26</v>
      </c>
      <c r="E48" s="1">
        <v>22.2</v>
      </c>
      <c r="F48" s="1">
        <v>26</v>
      </c>
      <c r="G48" s="1">
        <v>26</v>
      </c>
      <c r="H48" s="1">
        <v>17</v>
      </c>
      <c r="I48" s="1">
        <v>24.9</v>
      </c>
      <c r="J48" s="1">
        <v>11.9</v>
      </c>
      <c r="K48" s="1">
        <v>22.1</v>
      </c>
      <c r="L48" s="1">
        <v>112</v>
      </c>
      <c r="M48" s="1">
        <v>76</v>
      </c>
      <c r="N48" s="1">
        <v>83</v>
      </c>
      <c r="O48" s="1">
        <v>83</v>
      </c>
      <c r="P48" s="1">
        <v>17.1</v>
      </c>
      <c r="Q48" s="1">
        <v>21.4</v>
      </c>
      <c r="R48" s="1">
        <v>1430</v>
      </c>
    </row>
    <row r="49" ht="104.75" spans="1:18">
      <c r="A49" s="1" t="s">
        <v>1023</v>
      </c>
      <c r="B49" t="str">
        <f>_xlfn.DISPIMG("ID_6EC1B5C864554C669DB18C27CB8C96A7",1)</f>
        <v>=DISPIMG("ID_6EC1B5C864554C669DB18C27CB8C96A7",1)</v>
      </c>
      <c r="C49" s="1">
        <v>47</v>
      </c>
      <c r="D49" s="1">
        <v>41.3</v>
      </c>
      <c r="E49" s="1">
        <v>42.2</v>
      </c>
      <c r="F49" s="1">
        <v>40.2</v>
      </c>
      <c r="G49" s="1">
        <v>35</v>
      </c>
      <c r="H49" s="1">
        <v>28.9</v>
      </c>
      <c r="I49" s="1">
        <v>28.2</v>
      </c>
      <c r="J49" s="1">
        <v>30</v>
      </c>
      <c r="K49" s="1">
        <v>29.1</v>
      </c>
      <c r="L49" s="1">
        <v>159</v>
      </c>
      <c r="M49" s="1">
        <v>159</v>
      </c>
      <c r="N49" s="1">
        <v>159</v>
      </c>
      <c r="O49" s="1">
        <v>143</v>
      </c>
      <c r="P49" s="1">
        <v>61.2</v>
      </c>
      <c r="Q49" s="1">
        <v>60</v>
      </c>
      <c r="R49" s="1">
        <v>2000</v>
      </c>
    </row>
    <row r="50" ht="104" spans="1:18">
      <c r="A50" s="1" t="s">
        <v>1024</v>
      </c>
      <c r="B50" t="str">
        <f>_xlfn.DISPIMG("ID_F8BA33393FC94413B6644E0EEDE80655",1)</f>
        <v>=DISPIMG("ID_F8BA33393FC94413B6644E0EEDE80655",1)</v>
      </c>
      <c r="C50" s="1">
        <v>48</v>
      </c>
      <c r="D50" s="1">
        <v>35</v>
      </c>
      <c r="E50" s="1">
        <v>25.8</v>
      </c>
      <c r="F50" s="1">
        <v>36.7</v>
      </c>
      <c r="G50" s="1">
        <v>38.3</v>
      </c>
      <c r="H50" s="1">
        <v>22.1</v>
      </c>
      <c r="I50" s="1">
        <v>25.8</v>
      </c>
      <c r="J50" s="1">
        <v>30.7</v>
      </c>
      <c r="K50" s="1">
        <v>29.3</v>
      </c>
      <c r="L50" s="1">
        <v>188</v>
      </c>
      <c r="M50" s="1">
        <v>125</v>
      </c>
      <c r="N50" s="1">
        <v>138</v>
      </c>
      <c r="O50" s="1">
        <v>64</v>
      </c>
      <c r="P50" s="1">
        <v>44.4</v>
      </c>
      <c r="Q50" s="1">
        <v>35.7</v>
      </c>
      <c r="R50" s="1">
        <v>1800</v>
      </c>
    </row>
    <row r="51" ht="103.4" spans="1:18">
      <c r="A51" s="1" t="s">
        <v>1025</v>
      </c>
      <c r="B51" t="str">
        <f>_xlfn.DISPIMG("ID_02C0B43CD4ED4E58AA1D8E79F4FB9261",1)</f>
        <v>=DISPIMG("ID_02C0B43CD4ED4E58AA1D8E79F4FB9261",1)</v>
      </c>
      <c r="C51" s="1">
        <v>49</v>
      </c>
      <c r="D51" s="1">
        <v>29.8</v>
      </c>
      <c r="E51" s="1">
        <v>20.3</v>
      </c>
      <c r="F51" s="1">
        <v>29</v>
      </c>
      <c r="G51" s="1">
        <v>27</v>
      </c>
      <c r="H51" s="1">
        <v>27.8</v>
      </c>
      <c r="I51" s="1">
        <v>20.2</v>
      </c>
      <c r="J51" s="1">
        <v>20.2</v>
      </c>
      <c r="K51" s="1">
        <v>28.4</v>
      </c>
      <c r="L51" s="1">
        <v>145</v>
      </c>
      <c r="M51" s="1">
        <v>81</v>
      </c>
      <c r="N51" s="1">
        <v>116</v>
      </c>
      <c r="O51" s="1">
        <v>100</v>
      </c>
      <c r="P51" s="1">
        <v>27.5</v>
      </c>
      <c r="Q51" s="1">
        <v>30.9</v>
      </c>
      <c r="R51" s="1">
        <v>1530</v>
      </c>
    </row>
    <row r="52" ht="104.65" spans="1:18">
      <c r="A52" s="1" t="s">
        <v>1026</v>
      </c>
      <c r="B52" t="str">
        <f>_xlfn.DISPIMG("ID_B125B14B6E19482FBE534BAF79ECD210",1)</f>
        <v>=DISPIMG("ID_B125B14B6E19482FBE534BAF79ECD210",1)</v>
      </c>
      <c r="C52" s="1">
        <v>50</v>
      </c>
      <c r="D52" s="1">
        <v>26.1</v>
      </c>
      <c r="E52" s="1">
        <v>23</v>
      </c>
      <c r="F52" s="1">
        <v>24.4</v>
      </c>
      <c r="G52" s="1">
        <v>21.2</v>
      </c>
      <c r="H52" s="1">
        <v>19.9</v>
      </c>
      <c r="I52" s="1">
        <v>27.3</v>
      </c>
      <c r="J52" s="1">
        <v>13.4</v>
      </c>
      <c r="K52" s="1">
        <v>19.9</v>
      </c>
      <c r="L52" s="1">
        <v>124</v>
      </c>
      <c r="M52" s="1">
        <v>111</v>
      </c>
      <c r="N52" s="1">
        <v>112</v>
      </c>
      <c r="O52" s="1">
        <v>78</v>
      </c>
      <c r="P52" s="1">
        <v>25.9</v>
      </c>
      <c r="Q52" s="1">
        <v>24</v>
      </c>
      <c r="R52" s="1">
        <v>1270</v>
      </c>
    </row>
    <row r="53" ht="103.35" spans="1:18">
      <c r="A53" s="1" t="s">
        <v>1027</v>
      </c>
      <c r="B53" t="str">
        <f>_xlfn.DISPIMG("ID_0E16824C7BC24922A048674700DE7683",1)</f>
        <v>=DISPIMG("ID_0E16824C7BC24922A048674700DE7683",1)</v>
      </c>
      <c r="C53" s="1">
        <v>51</v>
      </c>
      <c r="D53" s="1">
        <v>24.3</v>
      </c>
      <c r="E53" s="1">
        <v>17.6</v>
      </c>
      <c r="F53" s="1">
        <v>26.1</v>
      </c>
      <c r="G53" s="1">
        <v>21</v>
      </c>
      <c r="H53" s="1">
        <v>18.5</v>
      </c>
      <c r="I53" s="1">
        <v>25.7</v>
      </c>
      <c r="J53" s="1">
        <v>17.4</v>
      </c>
      <c r="K53" s="1">
        <v>15</v>
      </c>
      <c r="L53" s="1">
        <v>111</v>
      </c>
      <c r="M53" s="1">
        <v>104</v>
      </c>
      <c r="N53" s="1">
        <v>127</v>
      </c>
      <c r="O53" s="1">
        <v>85</v>
      </c>
      <c r="P53" s="1">
        <v>17.9</v>
      </c>
      <c r="Q53" s="1">
        <v>20.2</v>
      </c>
      <c r="R53" s="1">
        <v>1260</v>
      </c>
    </row>
    <row r="54" ht="103.85" spans="1:18">
      <c r="A54" s="1" t="s">
        <v>1028</v>
      </c>
      <c r="B54" t="str">
        <f>_xlfn.DISPIMG("ID_EB790CED3E7248B69D17F00D3EF98D85",1)</f>
        <v>=DISPIMG("ID_EB790CED3E7248B69D17F00D3EF98D85",1)</v>
      </c>
      <c r="C54" s="1">
        <v>52</v>
      </c>
      <c r="D54" s="1">
        <v>32.1</v>
      </c>
      <c r="E54" s="1">
        <v>25.5</v>
      </c>
      <c r="F54" s="1">
        <v>32.2</v>
      </c>
      <c r="G54" s="1">
        <v>31.3</v>
      </c>
      <c r="H54" s="1">
        <v>26.5</v>
      </c>
      <c r="I54" s="1">
        <v>33.4</v>
      </c>
      <c r="J54" s="1">
        <v>24.5</v>
      </c>
      <c r="K54" s="1">
        <v>26.7</v>
      </c>
      <c r="L54" s="1">
        <v>157</v>
      </c>
      <c r="M54" s="1">
        <v>118</v>
      </c>
      <c r="N54" s="1">
        <v>133</v>
      </c>
      <c r="O54" s="1">
        <v>86</v>
      </c>
      <c r="P54" s="1">
        <v>41</v>
      </c>
      <c r="Q54" s="1">
        <v>38.6</v>
      </c>
      <c r="R54" s="1">
        <v>1810</v>
      </c>
    </row>
    <row r="55" ht="105" spans="1:18">
      <c r="A55" s="1" t="s">
        <v>1029</v>
      </c>
      <c r="B55" t="str">
        <f>_xlfn.DISPIMG("ID_1F4738AFAF0D4ECABBBAD5A701736E6F",1)</f>
        <v>=DISPIMG("ID_1F4738AFAF0D4ECABBBAD5A701736E6F",1)</v>
      </c>
      <c r="C55" s="1">
        <v>53</v>
      </c>
      <c r="D55" s="1">
        <v>32.1</v>
      </c>
      <c r="E55" s="1">
        <v>25.8</v>
      </c>
      <c r="F55" s="1">
        <v>31.2</v>
      </c>
      <c r="G55" s="1">
        <v>31.1</v>
      </c>
      <c r="H55" s="1">
        <v>29.1</v>
      </c>
      <c r="I55" s="1">
        <v>30.4</v>
      </c>
      <c r="J55" s="1">
        <v>23.6</v>
      </c>
      <c r="K55" s="1">
        <v>28.2</v>
      </c>
      <c r="L55" s="1">
        <v>159</v>
      </c>
      <c r="M55" s="1">
        <v>143</v>
      </c>
      <c r="N55" s="1">
        <v>150</v>
      </c>
      <c r="O55" s="1">
        <v>105</v>
      </c>
      <c r="P55" s="1">
        <v>41.9</v>
      </c>
      <c r="Q55" s="1">
        <v>40</v>
      </c>
      <c r="R55" s="1">
        <v>1840</v>
      </c>
    </row>
    <row r="56" ht="105.4" spans="1:18">
      <c r="A56" s="1" t="s">
        <v>1030</v>
      </c>
      <c r="B56" t="str">
        <f>_xlfn.DISPIMG("ID_B8FC908045F04398807230712F99713D",1)</f>
        <v>=DISPIMG("ID_B8FC908045F04398807230712F99713D",1)</v>
      </c>
      <c r="C56" s="1">
        <v>54</v>
      </c>
      <c r="D56" s="1">
        <v>32.3</v>
      </c>
      <c r="E56" s="1">
        <v>31.3</v>
      </c>
      <c r="F56" s="1">
        <v>31.2</v>
      </c>
      <c r="G56" s="1">
        <v>29.3</v>
      </c>
      <c r="H56" s="1">
        <v>26.9</v>
      </c>
      <c r="I56" s="1">
        <v>30.6</v>
      </c>
      <c r="J56" s="1">
        <v>26.5</v>
      </c>
      <c r="K56" s="1">
        <v>28.2</v>
      </c>
      <c r="L56" s="1">
        <v>226</v>
      </c>
      <c r="M56" s="1">
        <v>171</v>
      </c>
      <c r="N56" s="1">
        <v>143</v>
      </c>
      <c r="O56" s="1">
        <v>114</v>
      </c>
      <c r="P56" s="1">
        <v>44.5</v>
      </c>
      <c r="Q56" s="1">
        <v>42.3</v>
      </c>
      <c r="R56" s="1">
        <v>1870</v>
      </c>
    </row>
    <row r="57" ht="103.95" spans="1:18">
      <c r="A57" s="1" t="s">
        <v>1031</v>
      </c>
      <c r="B57" t="str">
        <f>_xlfn.DISPIMG("ID_C5A08DB6F3FE4236B061AE629EF8CB9A",1)</f>
        <v>=DISPIMG("ID_C5A08DB6F3FE4236B061AE629EF8CB9A",1)</v>
      </c>
      <c r="C57" s="1">
        <v>55</v>
      </c>
      <c r="D57" s="1">
        <v>30.9</v>
      </c>
      <c r="E57" s="1">
        <v>27.7</v>
      </c>
      <c r="F57" s="1">
        <v>36.7</v>
      </c>
      <c r="G57" s="1">
        <v>29.2</v>
      </c>
      <c r="H57" s="1">
        <v>27.8</v>
      </c>
      <c r="I57" s="1">
        <v>28.7</v>
      </c>
      <c r="J57" s="1">
        <v>27.3</v>
      </c>
      <c r="K57" s="1">
        <v>27.8</v>
      </c>
      <c r="L57" s="1">
        <v>198</v>
      </c>
      <c r="M57" s="1">
        <v>144</v>
      </c>
      <c r="N57" s="1">
        <v>144</v>
      </c>
      <c r="O57" s="1">
        <v>144</v>
      </c>
      <c r="P57" s="1">
        <v>46.2</v>
      </c>
      <c r="Q57" s="1">
        <v>42</v>
      </c>
      <c r="R57" s="1">
        <v>1870</v>
      </c>
    </row>
    <row r="58" ht="104.75" spans="1:18">
      <c r="A58" s="1" t="s">
        <v>1032</v>
      </c>
      <c r="B58" t="str">
        <f>_xlfn.DISPIMG("ID_6EC117677C784F60A31492892B4A6CC8",1)</f>
        <v>=DISPIMG("ID_6EC117677C784F60A31492892B4A6CC8",1)</v>
      </c>
      <c r="C58" s="1">
        <v>56</v>
      </c>
      <c r="D58" s="1">
        <v>40.6</v>
      </c>
      <c r="E58" s="1">
        <v>37.2</v>
      </c>
      <c r="F58" s="1">
        <v>40.3</v>
      </c>
      <c r="G58" s="1">
        <v>38.3</v>
      </c>
      <c r="H58" s="1">
        <v>30.7</v>
      </c>
      <c r="I58" s="1">
        <v>35.3</v>
      </c>
      <c r="J58" s="1">
        <v>27.9</v>
      </c>
      <c r="K58" s="1">
        <v>30.7</v>
      </c>
      <c r="L58" s="1">
        <v>172</v>
      </c>
      <c r="M58" s="1">
        <v>165</v>
      </c>
      <c r="N58" s="1">
        <v>165</v>
      </c>
      <c r="O58" s="1">
        <v>145</v>
      </c>
      <c r="P58" s="1">
        <v>62.4</v>
      </c>
      <c r="Q58" s="1">
        <v>56.9</v>
      </c>
      <c r="R58" s="1">
        <v>2000</v>
      </c>
    </row>
    <row r="59" ht="104.4" spans="1:18">
      <c r="A59" s="1" t="s">
        <v>1033</v>
      </c>
      <c r="B59" t="str">
        <f>_xlfn.DISPIMG("ID_BF5CE292003D4F5699949D8E0459182A",1)</f>
        <v>=DISPIMG("ID_BF5CE292003D4F5699949D8E0459182A",1)</v>
      </c>
      <c r="C59" s="1">
        <v>57</v>
      </c>
      <c r="D59" s="1">
        <v>17.7</v>
      </c>
      <c r="E59" s="1">
        <v>17.7</v>
      </c>
      <c r="F59" s="1">
        <v>18.8</v>
      </c>
      <c r="G59" s="1">
        <v>18.1</v>
      </c>
      <c r="H59" s="1">
        <v>22.9</v>
      </c>
      <c r="I59" s="1">
        <v>25.3</v>
      </c>
      <c r="J59" s="1">
        <v>20.8</v>
      </c>
      <c r="K59" s="1">
        <v>17.3</v>
      </c>
      <c r="L59" s="1">
        <v>98</v>
      </c>
      <c r="M59" s="1">
        <v>152</v>
      </c>
      <c r="N59" s="1">
        <v>112</v>
      </c>
      <c r="O59" s="1">
        <v>126</v>
      </c>
      <c r="P59" s="1">
        <v>8.3</v>
      </c>
      <c r="Q59" s="1">
        <v>15</v>
      </c>
      <c r="R59" s="1">
        <v>1020</v>
      </c>
    </row>
    <row r="60" ht="104.25" spans="1:3">
      <c r="A60" s="1" t="s">
        <v>1034</v>
      </c>
      <c r="B60" t="str">
        <f>_xlfn.DISPIMG("ID_8E98DEC59FCD4E6D84AEAFBDC7BF330D",1)</f>
        <v>=DISPIMG("ID_8E98DEC59FCD4E6D84AEAFBDC7BF330D",1)</v>
      </c>
      <c r="C60" s="1">
        <v>58</v>
      </c>
    </row>
    <row r="61" ht="103.9" spans="1:18">
      <c r="A61" s="1" t="s">
        <v>1035</v>
      </c>
      <c r="B61" t="str">
        <f>_xlfn.DISPIMG("ID_3151D7E25342451CA8B0DD5198055B8E",1)</f>
        <v>=DISPIMG("ID_3151D7E25342451CA8B0DD5198055B8E",1)</v>
      </c>
      <c r="C61" s="1">
        <v>59</v>
      </c>
      <c r="D61" s="1">
        <v>17.9</v>
      </c>
      <c r="E61" s="1">
        <v>16.6</v>
      </c>
      <c r="F61" s="1">
        <v>19.1</v>
      </c>
      <c r="G61" s="1">
        <v>14.7</v>
      </c>
      <c r="H61" s="1">
        <v>17.7</v>
      </c>
      <c r="I61" s="1">
        <v>16.5</v>
      </c>
      <c r="J61" s="1">
        <v>21.7</v>
      </c>
      <c r="K61" s="1">
        <v>17</v>
      </c>
      <c r="L61" s="1">
        <v>108</v>
      </c>
      <c r="M61" s="1">
        <v>148</v>
      </c>
      <c r="N61" s="1">
        <v>125</v>
      </c>
      <c r="O61" s="1">
        <v>102</v>
      </c>
      <c r="P61" s="1">
        <v>9.8</v>
      </c>
      <c r="Q61" s="1">
        <v>13.9</v>
      </c>
      <c r="R61" s="1">
        <v>1040</v>
      </c>
    </row>
    <row r="62" ht="104.25" spans="1:18">
      <c r="A62" s="1" t="s">
        <v>1036</v>
      </c>
      <c r="B62" t="str">
        <f>_xlfn.DISPIMG("ID_4BC901F4892944028D846979981E98D4",1)</f>
        <v>=DISPIMG("ID_4BC901F4892944028D846979981E98D4",1)</v>
      </c>
      <c r="C62" s="1">
        <v>60</v>
      </c>
      <c r="D62" s="1">
        <v>15.1</v>
      </c>
      <c r="E62" s="1">
        <v>12.6</v>
      </c>
      <c r="F62" s="1">
        <v>10.6</v>
      </c>
      <c r="G62" s="1">
        <v>15.1</v>
      </c>
      <c r="H62" s="1">
        <v>10.9</v>
      </c>
      <c r="I62" s="1">
        <v>12.3</v>
      </c>
      <c r="J62" s="1">
        <v>15.3</v>
      </c>
      <c r="K62" s="1">
        <v>10</v>
      </c>
      <c r="L62" s="1">
        <v>68</v>
      </c>
      <c r="M62" s="1">
        <v>97</v>
      </c>
      <c r="N62" s="1">
        <v>95</v>
      </c>
      <c r="O62" s="1">
        <v>67</v>
      </c>
      <c r="P62" s="1">
        <v>5.8</v>
      </c>
      <c r="Q62" s="1">
        <v>8.8</v>
      </c>
      <c r="R62" s="1">
        <v>880</v>
      </c>
    </row>
    <row r="63" ht="102.8" spans="1:18">
      <c r="A63" s="1" t="s">
        <v>1037</v>
      </c>
      <c r="B63" t="str">
        <f>_xlfn.DISPIMG("ID_552AFB0B24A347D7AACBABFB168CE781",1)</f>
        <v>=DISPIMG("ID_552AFB0B24A347D7AACBABFB168CE781",1)</v>
      </c>
      <c r="C63" s="1">
        <v>61</v>
      </c>
      <c r="D63" s="1">
        <v>19.9</v>
      </c>
      <c r="E63" s="1">
        <v>21.8</v>
      </c>
      <c r="F63" s="1">
        <v>19.4</v>
      </c>
      <c r="G63" s="1">
        <v>20.4</v>
      </c>
      <c r="H63" s="1">
        <v>25.3</v>
      </c>
      <c r="I63" s="1">
        <v>26.8</v>
      </c>
      <c r="J63" s="1">
        <v>20.6</v>
      </c>
      <c r="K63" s="1">
        <v>17.2</v>
      </c>
      <c r="L63" s="1">
        <v>93</v>
      </c>
      <c r="M63" s="1">
        <v>128</v>
      </c>
      <c r="N63" s="1">
        <v>142</v>
      </c>
      <c r="O63" s="1">
        <v>128</v>
      </c>
      <c r="P63" s="1">
        <v>12.1</v>
      </c>
      <c r="Q63" s="1">
        <v>16.6</v>
      </c>
      <c r="R63" s="1">
        <v>1090</v>
      </c>
    </row>
    <row r="64" ht="104.75" spans="1:18">
      <c r="A64" s="1" t="s">
        <v>1038</v>
      </c>
      <c r="B64" t="str">
        <f>_xlfn.DISPIMG("ID_CDC975F6EEB44276B3636E7DE076CDFE",1)</f>
        <v>=DISPIMG("ID_CDC975F6EEB44276B3636E7DE076CDFE",1)</v>
      </c>
      <c r="C64" s="1">
        <v>62</v>
      </c>
      <c r="D64" s="1">
        <v>8.5</v>
      </c>
      <c r="E64" s="1">
        <v>8.8</v>
      </c>
      <c r="F64" s="1">
        <v>8.5</v>
      </c>
      <c r="G64" s="1">
        <v>6.6</v>
      </c>
      <c r="H64" s="1">
        <v>27.6</v>
      </c>
      <c r="I64" s="1">
        <v>26.9</v>
      </c>
      <c r="J64" s="1">
        <v>23.4</v>
      </c>
      <c r="K64" s="1">
        <v>23.5</v>
      </c>
      <c r="L64" s="1">
        <v>99</v>
      </c>
      <c r="M64" s="1">
        <v>140</v>
      </c>
      <c r="N64" s="1">
        <v>80</v>
      </c>
      <c r="O64" s="1">
        <v>155</v>
      </c>
      <c r="P64" s="1">
        <v>3.7</v>
      </c>
      <c r="Q64" s="1">
        <v>8.9</v>
      </c>
      <c r="R64" s="1">
        <v>900</v>
      </c>
    </row>
    <row r="65" ht="104.05" spans="1:18">
      <c r="A65" s="1" t="s">
        <v>1039</v>
      </c>
      <c r="B65" t="str">
        <f>_xlfn.DISPIMG("ID_C16636F4E48041258CF476C66435F049",1)</f>
        <v>=DISPIMG("ID_C16636F4E48041258CF476C66435F049",1)</v>
      </c>
      <c r="C65" s="1">
        <v>63</v>
      </c>
      <c r="D65" s="1">
        <v>20.1</v>
      </c>
      <c r="E65" s="1">
        <v>18.1</v>
      </c>
      <c r="F65" s="1">
        <v>24.1</v>
      </c>
      <c r="G65" s="1">
        <v>18</v>
      </c>
      <c r="H65" s="1">
        <v>21.1</v>
      </c>
      <c r="I65" s="1">
        <v>27.9</v>
      </c>
      <c r="J65" s="1">
        <v>22.4</v>
      </c>
      <c r="K65" s="1">
        <v>27</v>
      </c>
      <c r="L65" s="1">
        <v>109</v>
      </c>
      <c r="M65" s="1">
        <v>127</v>
      </c>
      <c r="N65" s="1">
        <v>104</v>
      </c>
      <c r="O65" s="1">
        <v>150</v>
      </c>
      <c r="P65" s="1">
        <v>9.5</v>
      </c>
      <c r="Q65" s="1">
        <v>18.2</v>
      </c>
      <c r="R65" s="1">
        <v>1270</v>
      </c>
    </row>
    <row r="66" ht="103.9" spans="1:18">
      <c r="A66" s="1" t="s">
        <v>1040</v>
      </c>
      <c r="B66" t="str">
        <f>_xlfn.DISPIMG("ID_DB9A61037D5248D993C9F86D5B9E76E6",1)</f>
        <v>=DISPIMG("ID_DB9A61037D5248D993C9F86D5B9E76E6",1)</v>
      </c>
      <c r="C66" s="1">
        <v>64</v>
      </c>
      <c r="D66" s="1">
        <v>10.6</v>
      </c>
      <c r="E66" s="1">
        <v>8</v>
      </c>
      <c r="F66" s="1">
        <v>10.6</v>
      </c>
      <c r="G66" s="1">
        <v>11.9</v>
      </c>
      <c r="H66" s="1">
        <v>24.4</v>
      </c>
      <c r="I66" s="1">
        <v>12.4</v>
      </c>
      <c r="J66" s="1">
        <v>11.7</v>
      </c>
      <c r="K66" s="1">
        <v>10</v>
      </c>
      <c r="L66" s="1">
        <v>147</v>
      </c>
      <c r="M66" s="1">
        <v>157</v>
      </c>
      <c r="N66" s="1">
        <v>81</v>
      </c>
      <c r="O66" s="1">
        <v>128</v>
      </c>
      <c r="P66" s="1">
        <v>5.5</v>
      </c>
      <c r="Q66" s="1">
        <v>10.6</v>
      </c>
      <c r="R66" s="1">
        <v>930</v>
      </c>
    </row>
    <row r="67" spans="1:3">
      <c r="A67" s="1" t="s">
        <v>1041</v>
      </c>
      <c r="C67" s="1">
        <v>65</v>
      </c>
    </row>
    <row r="68" ht="101.4" spans="1:18">
      <c r="A68" s="1" t="s">
        <v>1042</v>
      </c>
      <c r="B68" t="str">
        <f>_xlfn.DISPIMG("ID_D016BC06EA4E4787B0AB1622DCB13C59",1)</f>
        <v>=DISPIMG("ID_D016BC06EA4E4787B0AB1622DCB13C59",1)</v>
      </c>
      <c r="C68" s="1">
        <v>66</v>
      </c>
      <c r="D68" s="1">
        <v>10.2</v>
      </c>
      <c r="E68" s="1">
        <v>10.9</v>
      </c>
      <c r="F68" s="1">
        <v>10.2</v>
      </c>
      <c r="G68" s="1">
        <v>9.2</v>
      </c>
      <c r="H68" s="1">
        <v>27</v>
      </c>
      <c r="I68" s="1">
        <v>27.2</v>
      </c>
      <c r="J68" s="1">
        <v>27.8</v>
      </c>
      <c r="K68" s="1">
        <v>27.8</v>
      </c>
      <c r="L68" s="1">
        <v>66</v>
      </c>
      <c r="M68" s="1">
        <v>97</v>
      </c>
      <c r="N68" s="1">
        <v>88</v>
      </c>
      <c r="O68" s="1">
        <v>152</v>
      </c>
      <c r="P68" s="1">
        <v>3.7</v>
      </c>
      <c r="Q68" s="1">
        <v>10</v>
      </c>
      <c r="R68" s="1">
        <v>920</v>
      </c>
    </row>
    <row r="69" ht="104.75" spans="1:3">
      <c r="A69" s="1" t="s">
        <v>1043</v>
      </c>
      <c r="B69" t="str">
        <f>_xlfn.DISPIMG("ID_AD4DED0DDBD0418C9D99147A574BAC27",1)</f>
        <v>=DISPIMG("ID_AD4DED0DDBD0418C9D99147A574BAC27",1)</v>
      </c>
      <c r="C69" s="1">
        <v>67</v>
      </c>
    </row>
    <row r="70" ht="102.5" spans="1:18">
      <c r="A70" s="1" t="s">
        <v>1044</v>
      </c>
      <c r="B70" t="str">
        <f>_xlfn.DISPIMG("ID_22BB6FEAF09C4FD38A8542B230006983",1)</f>
        <v>=DISPIMG("ID_22BB6FEAF09C4FD38A8542B230006983",1)</v>
      </c>
      <c r="C70" s="1">
        <v>68</v>
      </c>
      <c r="D70" s="1">
        <v>8.1</v>
      </c>
      <c r="E70" s="1">
        <v>7</v>
      </c>
      <c r="F70" s="1">
        <v>7</v>
      </c>
      <c r="G70" s="1">
        <v>8.1</v>
      </c>
      <c r="H70" s="1">
        <v>28.1</v>
      </c>
      <c r="I70" s="1">
        <v>25.5</v>
      </c>
      <c r="J70" s="1">
        <v>26.7</v>
      </c>
      <c r="K70" s="1">
        <v>28.1</v>
      </c>
      <c r="L70" s="1">
        <v>72</v>
      </c>
      <c r="M70" s="1">
        <v>92</v>
      </c>
      <c r="N70" s="1">
        <v>79</v>
      </c>
      <c r="O70" s="1">
        <v>164</v>
      </c>
      <c r="P70" s="1">
        <v>2.7</v>
      </c>
      <c r="Q70" s="1">
        <v>8.5</v>
      </c>
      <c r="R70" s="1">
        <v>870</v>
      </c>
    </row>
    <row r="71" ht="101.35" spans="1:18">
      <c r="A71" s="1" t="s">
        <v>1045</v>
      </c>
      <c r="B71" t="str">
        <f>_xlfn.DISPIMG("ID_06900688A4CD45E6B5AEA132CF13A79B",1)</f>
        <v>=DISPIMG("ID_06900688A4CD45E6B5AEA132CF13A79B",1)</v>
      </c>
      <c r="C71" s="1">
        <v>69</v>
      </c>
      <c r="D71" s="1">
        <v>7.7</v>
      </c>
      <c r="E71" s="1">
        <v>9.1</v>
      </c>
      <c r="F71" s="1">
        <v>7.7</v>
      </c>
      <c r="G71" s="1">
        <v>9.1</v>
      </c>
      <c r="H71" s="1">
        <v>27</v>
      </c>
      <c r="I71" s="1">
        <v>25.1</v>
      </c>
      <c r="J71" s="1">
        <v>29.6</v>
      </c>
      <c r="K71" s="1">
        <v>29</v>
      </c>
      <c r="L71" s="1">
        <v>69</v>
      </c>
      <c r="M71" s="1">
        <v>108</v>
      </c>
      <c r="N71" s="1">
        <v>75</v>
      </c>
      <c r="O71" s="1">
        <v>175</v>
      </c>
      <c r="P71" s="1">
        <v>3.3</v>
      </c>
      <c r="Q71" s="1">
        <v>8.9</v>
      </c>
      <c r="R71" s="1">
        <v>880</v>
      </c>
    </row>
    <row r="72" ht="102.75" spans="1:18">
      <c r="A72" s="1" t="s">
        <v>1046</v>
      </c>
      <c r="B72" t="str">
        <f>_xlfn.DISPIMG("ID_2F48D7D1772644DE8744A6D434DBDA23",1)</f>
        <v>=DISPIMG("ID_2F48D7D1772644DE8744A6D434DBDA23",1)</v>
      </c>
      <c r="C72" s="1">
        <v>70</v>
      </c>
      <c r="D72" s="1">
        <v>8.9</v>
      </c>
      <c r="E72" s="1">
        <v>8.8</v>
      </c>
      <c r="F72" s="1">
        <v>6.4</v>
      </c>
      <c r="G72" s="1">
        <v>6.9</v>
      </c>
      <c r="H72" s="1">
        <v>30.9</v>
      </c>
      <c r="I72" s="1">
        <v>29</v>
      </c>
      <c r="J72" s="1">
        <v>30.2</v>
      </c>
      <c r="K72" s="1">
        <v>30.2</v>
      </c>
      <c r="L72" s="1">
        <v>50</v>
      </c>
      <c r="M72" s="1">
        <v>85</v>
      </c>
      <c r="N72" s="1">
        <v>75</v>
      </c>
      <c r="O72" s="1">
        <v>130</v>
      </c>
      <c r="P72" s="1">
        <v>3.1</v>
      </c>
      <c r="Q72" s="1">
        <v>9.1</v>
      </c>
      <c r="R72" s="1">
        <v>890</v>
      </c>
    </row>
    <row r="73" ht="103.7" spans="1:18">
      <c r="A73" s="1" t="s">
        <v>1047</v>
      </c>
      <c r="B73" t="str">
        <f>_xlfn.DISPIMG("ID_10717A6BD378474DA6BD8784EC22B80A",1)</f>
        <v>=DISPIMG("ID_10717A6BD378474DA6BD8784EC22B80A",1)</v>
      </c>
      <c r="C73" s="1">
        <v>71</v>
      </c>
      <c r="D73" s="1">
        <v>7.9</v>
      </c>
      <c r="E73" s="1">
        <v>8.7</v>
      </c>
      <c r="F73" s="1">
        <v>8.6</v>
      </c>
      <c r="G73" s="1">
        <v>6.3</v>
      </c>
      <c r="H73" s="1">
        <v>30</v>
      </c>
      <c r="I73" s="1">
        <v>29.2</v>
      </c>
      <c r="J73" s="1">
        <v>29.3</v>
      </c>
      <c r="K73" s="1">
        <v>30.8</v>
      </c>
      <c r="L73" s="1">
        <v>35</v>
      </c>
      <c r="M73" s="1">
        <v>91</v>
      </c>
      <c r="N73" s="1">
        <v>64</v>
      </c>
      <c r="O73" s="1">
        <v>181</v>
      </c>
      <c r="P73" s="1">
        <v>1.1</v>
      </c>
      <c r="Q73" s="1">
        <v>8.8</v>
      </c>
      <c r="R73" s="1">
        <v>880</v>
      </c>
    </row>
    <row r="74" ht="102.35" spans="1:18">
      <c r="A74" s="1" t="s">
        <v>1048</v>
      </c>
      <c r="B74" t="str">
        <f>_xlfn.DISPIMG("ID_FEADF6765EE4468A8CD6758DF1976231",1)</f>
        <v>=DISPIMG("ID_FEADF6765EE4468A8CD6758DF1976231",1)</v>
      </c>
      <c r="C74" s="1">
        <v>72</v>
      </c>
      <c r="D74" s="1">
        <v>6.5</v>
      </c>
      <c r="E74" s="1">
        <v>6.5</v>
      </c>
      <c r="F74" s="1">
        <v>5.9</v>
      </c>
      <c r="G74" s="1">
        <v>5.5</v>
      </c>
      <c r="H74" s="1">
        <v>-7.7</v>
      </c>
      <c r="I74" s="1">
        <v>29.1</v>
      </c>
      <c r="J74" s="1">
        <v>24.4</v>
      </c>
      <c r="K74" s="1">
        <v>27</v>
      </c>
      <c r="L74" s="1">
        <v>47</v>
      </c>
      <c r="M74" s="1">
        <v>86</v>
      </c>
      <c r="N74" s="1">
        <v>61</v>
      </c>
      <c r="O74" s="1">
        <v>202</v>
      </c>
      <c r="P74" s="1">
        <v>2.2</v>
      </c>
      <c r="Q74" s="1">
        <v>7.3</v>
      </c>
      <c r="R74" s="1">
        <v>840</v>
      </c>
    </row>
    <row r="75" ht="102.95" spans="1:18">
      <c r="A75" s="1" t="s">
        <v>1049</v>
      </c>
      <c r="B75" t="str">
        <f>_xlfn.DISPIMG("ID_8B9CC364ED3C4D5D9BB2EA07643D40BB",1)</f>
        <v>=DISPIMG("ID_8B9CC364ED3C4D5D9BB2EA07643D40BB",1)</v>
      </c>
      <c r="C75" s="1">
        <v>73</v>
      </c>
      <c r="D75" s="1">
        <v>18.6</v>
      </c>
      <c r="E75" s="1">
        <v>16.6</v>
      </c>
      <c r="F75" s="1">
        <v>17.9</v>
      </c>
      <c r="G75" s="1">
        <v>17.9</v>
      </c>
      <c r="H75" s="1">
        <v>26</v>
      </c>
      <c r="I75" s="1">
        <v>12.3</v>
      </c>
      <c r="J75" s="1">
        <v>25.1</v>
      </c>
      <c r="K75" s="1">
        <v>25.6</v>
      </c>
      <c r="L75" s="1">
        <v>97</v>
      </c>
      <c r="M75" s="1">
        <v>130</v>
      </c>
      <c r="N75" s="1">
        <v>114</v>
      </c>
      <c r="O75" s="1">
        <v>95</v>
      </c>
      <c r="P75" s="1">
        <v>11.3</v>
      </c>
      <c r="Q75" s="1">
        <v>17.5</v>
      </c>
      <c r="R75" s="1">
        <v>1140</v>
      </c>
    </row>
    <row r="76" spans="1:3">
      <c r="A76" s="1" t="s">
        <v>1050</v>
      </c>
      <c r="B76"/>
      <c r="C76" s="1">
        <v>74</v>
      </c>
    </row>
    <row r="77" ht="100.1" spans="1:18">
      <c r="A77" s="1" t="s">
        <v>1051</v>
      </c>
      <c r="B77" t="str">
        <f>_xlfn.DISPIMG("ID_BAAB372D96A649399870322F248509CB",1)</f>
        <v>=DISPIMG("ID_BAAB372D96A649399870322F248509CB",1)</v>
      </c>
      <c r="C77" s="1">
        <v>75</v>
      </c>
      <c r="D77" s="1">
        <v>9.2</v>
      </c>
      <c r="E77" s="1">
        <v>8</v>
      </c>
      <c r="F77" s="1">
        <v>7.8</v>
      </c>
      <c r="G77" s="1">
        <v>7.8</v>
      </c>
      <c r="H77" s="1">
        <v>26.8</v>
      </c>
      <c r="I77" s="1">
        <v>29.6</v>
      </c>
      <c r="J77" s="1">
        <v>26.6</v>
      </c>
      <c r="K77" s="1">
        <v>29.5</v>
      </c>
      <c r="L77" s="1">
        <v>51</v>
      </c>
      <c r="M77" s="1">
        <v>121</v>
      </c>
      <c r="N77" s="1">
        <v>95</v>
      </c>
      <c r="O77" s="1">
        <v>164</v>
      </c>
      <c r="P77" s="1">
        <v>2.9</v>
      </c>
      <c r="Q77" s="1">
        <v>9.4</v>
      </c>
      <c r="R77" s="1">
        <v>890</v>
      </c>
    </row>
    <row r="78" ht="103.6" spans="1:18">
      <c r="A78" s="1" t="s">
        <v>1052</v>
      </c>
      <c r="B78" t="str">
        <f>_xlfn.DISPIMG("ID_A04C5B320E95430BB971CA296ADA7DEA",1)</f>
        <v>=DISPIMG("ID_A04C5B320E95430BB971CA296ADA7DEA",1)</v>
      </c>
      <c r="C78" s="1">
        <v>76</v>
      </c>
      <c r="D78" s="1">
        <v>7.5</v>
      </c>
      <c r="E78" s="1">
        <v>7.5</v>
      </c>
      <c r="F78" s="1">
        <v>8.4</v>
      </c>
      <c r="G78" s="1">
        <v>6.6</v>
      </c>
      <c r="H78" s="1">
        <v>27.5</v>
      </c>
      <c r="I78" s="1">
        <v>28.6</v>
      </c>
      <c r="J78" s="1">
        <v>26.5</v>
      </c>
      <c r="K78" s="1">
        <v>27.8</v>
      </c>
      <c r="L78" s="1">
        <v>54</v>
      </c>
      <c r="M78" s="1">
        <v>91</v>
      </c>
      <c r="N78" s="1">
        <v>70</v>
      </c>
      <c r="O78" s="1">
        <v>190</v>
      </c>
      <c r="P78" s="1">
        <v>7.1</v>
      </c>
      <c r="Q78" s="1">
        <v>8.4</v>
      </c>
      <c r="R78" s="1">
        <v>860</v>
      </c>
    </row>
    <row r="79" ht="101.5" spans="1:18">
      <c r="A79" s="1" t="s">
        <v>1053</v>
      </c>
      <c r="B79" t="str">
        <f>_xlfn.DISPIMG("ID_D552155ACC494873B379D9266A143767",1)</f>
        <v>=DISPIMG("ID_D552155ACC494873B379D9266A143767",1)</v>
      </c>
      <c r="C79" s="1">
        <v>77</v>
      </c>
      <c r="D79" s="1">
        <v>8.4</v>
      </c>
      <c r="E79" s="1">
        <v>8.4</v>
      </c>
      <c r="F79" s="1">
        <v>8.4</v>
      </c>
      <c r="G79" s="1">
        <v>7.1</v>
      </c>
      <c r="H79" s="1">
        <v>25.8</v>
      </c>
      <c r="I79" s="1">
        <v>30</v>
      </c>
      <c r="J79" s="1">
        <v>29.3</v>
      </c>
      <c r="K79" s="1">
        <v>27</v>
      </c>
      <c r="L79" s="1">
        <v>73</v>
      </c>
      <c r="M79" s="1">
        <v>150</v>
      </c>
      <c r="N79" s="1">
        <v>105</v>
      </c>
      <c r="O79" s="1">
        <v>145</v>
      </c>
      <c r="P79" s="1">
        <v>2.8</v>
      </c>
      <c r="Q79" s="1">
        <v>10</v>
      </c>
      <c r="R79" s="1">
        <v>920</v>
      </c>
    </row>
    <row r="80" ht="104.9" spans="1:18">
      <c r="A80" s="1" t="s">
        <v>1054</v>
      </c>
      <c r="B80" t="str">
        <f>_xlfn.DISPIMG("ID_3B4D852AE212492F9A02C9DD96C85F13",1)</f>
        <v>=DISPIMG("ID_3B4D852AE212492F9A02C9DD96C85F13",1)</v>
      </c>
      <c r="C80" s="1">
        <v>78</v>
      </c>
      <c r="D80" s="1">
        <v>10.2</v>
      </c>
      <c r="E80" s="1">
        <v>6.3</v>
      </c>
      <c r="F80" s="1">
        <v>27.5</v>
      </c>
      <c r="G80" s="1">
        <v>6.4</v>
      </c>
      <c r="H80" s="1">
        <v>23.3</v>
      </c>
      <c r="I80" s="1">
        <v>25.7</v>
      </c>
      <c r="J80" s="1">
        <v>27.4</v>
      </c>
      <c r="K80" s="1">
        <v>26.7</v>
      </c>
      <c r="L80" s="1">
        <v>48</v>
      </c>
      <c r="M80" s="1">
        <v>162</v>
      </c>
      <c r="N80" s="1">
        <v>67</v>
      </c>
      <c r="O80" s="1">
        <v>166</v>
      </c>
      <c r="P80" s="1">
        <v>2.7</v>
      </c>
      <c r="Q80" s="1">
        <v>7</v>
      </c>
      <c r="R80" s="1">
        <v>840</v>
      </c>
    </row>
    <row r="81" ht="102.25" spans="1:18">
      <c r="A81" s="1" t="s">
        <v>1055</v>
      </c>
      <c r="B81" t="str">
        <f>_xlfn.DISPIMG("ID_D2F94605A364490FB5BAE4262B86941F",1)</f>
        <v>=DISPIMG("ID_D2F94605A364490FB5BAE4262B86941F",1)</v>
      </c>
      <c r="C81" s="1">
        <v>79</v>
      </c>
      <c r="D81" s="1">
        <v>10.3</v>
      </c>
      <c r="E81" s="1">
        <v>11</v>
      </c>
      <c r="F81" s="1">
        <v>9.7</v>
      </c>
      <c r="G81" s="1">
        <v>8.6</v>
      </c>
      <c r="H81" s="1">
        <v>27.5</v>
      </c>
      <c r="I81" s="1">
        <v>23.2</v>
      </c>
      <c r="J81" s="1">
        <v>27.7</v>
      </c>
      <c r="K81" s="1">
        <v>28.1</v>
      </c>
      <c r="L81" s="1">
        <v>106</v>
      </c>
      <c r="M81" s="1">
        <v>143</v>
      </c>
      <c r="N81" s="1">
        <v>90</v>
      </c>
      <c r="O81" s="1">
        <v>164</v>
      </c>
      <c r="P81" s="1">
        <v>3.1</v>
      </c>
      <c r="Q81" s="1">
        <v>11</v>
      </c>
      <c r="R81" s="1">
        <v>930</v>
      </c>
    </row>
    <row r="82" ht="101.05" spans="1:18">
      <c r="A82" s="1" t="s">
        <v>1056</v>
      </c>
      <c r="B82" t="str">
        <f>_xlfn.DISPIMG("ID_9E571DFAE1454345BB1780A1B7887E0E",1)</f>
        <v>=DISPIMG("ID_9E571DFAE1454345BB1780A1B7887E0E",1)</v>
      </c>
      <c r="C82" s="1">
        <v>80</v>
      </c>
      <c r="D82" s="1">
        <v>7.1</v>
      </c>
      <c r="E82" s="1">
        <v>8.4</v>
      </c>
      <c r="F82" s="1">
        <v>7.1</v>
      </c>
      <c r="G82" s="1">
        <v>6.3</v>
      </c>
      <c r="H82" s="1">
        <v>29.3</v>
      </c>
      <c r="I82" s="1">
        <v>27.4</v>
      </c>
      <c r="J82" s="1">
        <v>27.9</v>
      </c>
      <c r="K82" s="1">
        <v>29.3</v>
      </c>
      <c r="L82" s="1">
        <v>48</v>
      </c>
      <c r="M82" s="1">
        <v>93</v>
      </c>
      <c r="N82" s="1">
        <v>73</v>
      </c>
      <c r="O82" s="1">
        <v>180</v>
      </c>
      <c r="P82" s="1">
        <v>1.1</v>
      </c>
      <c r="Q82" s="1">
        <v>8.5</v>
      </c>
      <c r="R82" s="1">
        <v>880</v>
      </c>
    </row>
    <row r="83" ht="105.55" spans="1:3">
      <c r="A83" s="1" t="s">
        <v>1057</v>
      </c>
      <c r="B83" t="str">
        <f>_xlfn.DISPIMG("ID_F6029093AAA7413FB05519109C730D0B",1)</f>
        <v>=DISPIMG("ID_F6029093AAA7413FB05519109C730D0B",1)</v>
      </c>
      <c r="C83" s="1">
        <v>81</v>
      </c>
    </row>
    <row r="84" ht="102.35" spans="1:18">
      <c r="A84" s="1" t="s">
        <v>1058</v>
      </c>
      <c r="B84" t="str">
        <f>_xlfn.DISPIMG("ID_8A5539D0D41E419484ED375158B76EFD",1)</f>
        <v>=DISPIMG("ID_8A5539D0D41E419484ED375158B76EFD",1)</v>
      </c>
      <c r="C84" s="1">
        <v>82</v>
      </c>
      <c r="D84" s="1">
        <v>23.6</v>
      </c>
      <c r="E84" s="1">
        <v>26</v>
      </c>
      <c r="F84" s="1">
        <v>22.2</v>
      </c>
      <c r="G84" s="1">
        <v>20.5</v>
      </c>
      <c r="H84" s="1">
        <v>23.7</v>
      </c>
      <c r="I84" s="1">
        <v>27</v>
      </c>
      <c r="J84" s="1">
        <v>24.6</v>
      </c>
      <c r="K84" s="1">
        <v>15.7</v>
      </c>
      <c r="L84" s="1">
        <v>99</v>
      </c>
      <c r="M84" s="1">
        <v>130</v>
      </c>
      <c r="N84" s="1">
        <v>116</v>
      </c>
      <c r="O84" s="1">
        <v>118</v>
      </c>
      <c r="P84" s="1">
        <v>18.9</v>
      </c>
      <c r="Q84" s="1">
        <v>22.7</v>
      </c>
      <c r="R84" s="1">
        <v>1210</v>
      </c>
    </row>
    <row r="85" ht="101.85" spans="1:3">
      <c r="A85" s="1" t="s">
        <v>1059</v>
      </c>
      <c r="B85" t="str">
        <f>_xlfn.DISPIMG("ID_3C51A6D699E14E9A892C49874B85B8C0",1)</f>
        <v>=DISPIMG("ID_3C51A6D699E14E9A892C49874B85B8C0",1)</v>
      </c>
      <c r="C85" s="1">
        <v>83</v>
      </c>
    </row>
    <row r="86" ht="133.5" spans="1:3">
      <c r="A86" s="1" t="s">
        <v>1060</v>
      </c>
      <c r="B86" t="str">
        <f>_xlfn.DISPIMG("ID_572F179863BB4CACA7DF7214F6426FAC",1)</f>
        <v>=DISPIMG("ID_572F179863BB4CACA7DF7214F6426FAC",1)</v>
      </c>
      <c r="C86" s="1">
        <v>84</v>
      </c>
    </row>
    <row r="87" ht="103.85" spans="1:18">
      <c r="A87" s="1" t="s">
        <v>1061</v>
      </c>
      <c r="B87" t="str">
        <f>_xlfn.DISPIMG("ID_755955EEE5454D268465F5D463769740",1)</f>
        <v>=DISPIMG("ID_755955EEE5454D268465F5D463769740",1)</v>
      </c>
      <c r="C87" s="1">
        <v>85</v>
      </c>
      <c r="D87" s="1">
        <v>19.4</v>
      </c>
      <c r="E87" s="1">
        <v>9</v>
      </c>
      <c r="F87" s="1">
        <v>19.1</v>
      </c>
      <c r="G87" s="1">
        <v>15</v>
      </c>
      <c r="H87" s="1">
        <v>27</v>
      </c>
      <c r="I87" s="1">
        <v>26.5</v>
      </c>
      <c r="J87" s="1">
        <v>21.4</v>
      </c>
      <c r="K87" s="1">
        <v>26.7</v>
      </c>
      <c r="L87" s="1">
        <v>71</v>
      </c>
      <c r="M87" s="1">
        <v>91</v>
      </c>
      <c r="N87" s="1">
        <v>81</v>
      </c>
      <c r="O87" s="1">
        <v>200</v>
      </c>
      <c r="P87" s="1">
        <v>9.4</v>
      </c>
      <c r="Q87" s="1">
        <v>15.1</v>
      </c>
      <c r="R87" s="1">
        <v>1090</v>
      </c>
    </row>
    <row r="88" ht="102.05" spans="1:3">
      <c r="A88" s="1" t="s">
        <v>1062</v>
      </c>
      <c r="B88" t="str">
        <f>_xlfn.DISPIMG("ID_75EC9DF93BD447CFB74A455058557775",1)</f>
        <v>=DISPIMG("ID_75EC9DF93BD447CFB74A455058557775",1)</v>
      </c>
      <c r="C88" s="1">
        <v>86</v>
      </c>
    </row>
    <row r="89" ht="102.25" spans="1:18">
      <c r="A89" s="1" t="s">
        <v>1063</v>
      </c>
      <c r="B89" t="str">
        <f>_xlfn.DISPIMG("ID_E4CCE23B878F41ADBD85FC2C3BD022E6",1)</f>
        <v>=DISPIMG("ID_E4CCE23B878F41ADBD85FC2C3BD022E6",1)</v>
      </c>
      <c r="C89" s="1">
        <v>87</v>
      </c>
      <c r="D89" s="1">
        <v>9.4</v>
      </c>
      <c r="E89" s="1">
        <v>11.5</v>
      </c>
      <c r="F89" s="1">
        <v>10.9</v>
      </c>
      <c r="G89" s="1">
        <v>11.5</v>
      </c>
      <c r="H89" s="1">
        <v>20.9</v>
      </c>
      <c r="I89" s="1">
        <v>25.6</v>
      </c>
      <c r="J89" s="1">
        <v>22.9</v>
      </c>
      <c r="K89" s="1">
        <v>-5.7</v>
      </c>
      <c r="L89" s="1">
        <v>64</v>
      </c>
      <c r="M89" s="1">
        <v>108</v>
      </c>
      <c r="N89" s="1">
        <v>88</v>
      </c>
      <c r="O89" s="1">
        <v>137</v>
      </c>
      <c r="P89" s="1">
        <v>2.6</v>
      </c>
      <c r="Q89" s="1">
        <v>9.6</v>
      </c>
      <c r="R89" s="1">
        <v>890</v>
      </c>
    </row>
    <row r="90" ht="101.7" spans="1:18">
      <c r="A90" s="1" t="s">
        <v>1064</v>
      </c>
      <c r="B90" t="str">
        <f>_xlfn.DISPIMG("ID_101E62184FA04643A914130B2D8A2A20",1)</f>
        <v>=DISPIMG("ID_101E62184FA04643A914130B2D8A2A20",1)</v>
      </c>
      <c r="C90" s="1">
        <v>88</v>
      </c>
      <c r="D90" s="1">
        <v>6.1</v>
      </c>
      <c r="E90" s="1">
        <v>6.1</v>
      </c>
      <c r="F90" s="1">
        <v>6.1</v>
      </c>
      <c r="G90" s="1">
        <v>5.1</v>
      </c>
      <c r="H90" s="1">
        <v>20.6</v>
      </c>
      <c r="I90" s="1">
        <v>17.2</v>
      </c>
      <c r="J90" s="1">
        <v>19</v>
      </c>
      <c r="K90" s="1">
        <v>20.6</v>
      </c>
      <c r="L90" s="1">
        <v>84</v>
      </c>
      <c r="M90" s="1">
        <v>144</v>
      </c>
      <c r="N90" s="1">
        <v>48</v>
      </c>
      <c r="O90" s="1">
        <v>172</v>
      </c>
      <c r="P90" s="1">
        <v>0.8</v>
      </c>
      <c r="Q90" s="1">
        <v>4.1</v>
      </c>
      <c r="R90" s="1">
        <v>400</v>
      </c>
    </row>
    <row r="91" ht="102.05" spans="1:18">
      <c r="A91" s="1" t="s">
        <v>1065</v>
      </c>
      <c r="B91" t="str">
        <f>_xlfn.DISPIMG("ID_127D9998E7424E35A2E08AA36127D53A",1)</f>
        <v>=DISPIMG("ID_127D9998E7424E35A2E08AA36127D53A",1)</v>
      </c>
      <c r="C91" s="1">
        <v>89</v>
      </c>
      <c r="D91" s="1">
        <v>10.1</v>
      </c>
      <c r="E91" s="1">
        <v>15.2</v>
      </c>
      <c r="F91" s="1">
        <v>12.3</v>
      </c>
      <c r="G91" s="1">
        <v>12.3</v>
      </c>
      <c r="H91" s="1">
        <v>15.3</v>
      </c>
      <c r="I91" s="1">
        <v>12.3</v>
      </c>
      <c r="J91" s="1">
        <v>12.3</v>
      </c>
      <c r="K91" s="1">
        <v>24.7</v>
      </c>
      <c r="L91" s="1">
        <v>84</v>
      </c>
      <c r="M91" s="1">
        <v>165</v>
      </c>
      <c r="N91" s="1">
        <v>105</v>
      </c>
      <c r="O91" s="1">
        <v>145</v>
      </c>
      <c r="P91" s="1">
        <v>5.8</v>
      </c>
      <c r="Q91" s="1">
        <v>10.8</v>
      </c>
      <c r="R91" s="1">
        <v>920</v>
      </c>
    </row>
    <row r="92" ht="104.35" spans="1:18">
      <c r="A92" s="1" t="s">
        <v>1066</v>
      </c>
      <c r="B92" t="str">
        <f>_xlfn.DISPIMG("ID_90E5F3F077BA4379A48BD7AD98791D1F",1)</f>
        <v>=DISPIMG("ID_90E5F3F077BA4379A48BD7AD98791D1F",1)</v>
      </c>
      <c r="C92" s="1">
        <v>90</v>
      </c>
      <c r="D92" s="1">
        <v>8.4</v>
      </c>
      <c r="E92" s="1">
        <v>6.3</v>
      </c>
      <c r="F92" s="1">
        <v>17.1</v>
      </c>
      <c r="G92" s="1">
        <v>10.1</v>
      </c>
      <c r="H92" s="1">
        <v>19</v>
      </c>
      <c r="I92" s="1">
        <v>19</v>
      </c>
      <c r="J92" s="1">
        <v>23.6</v>
      </c>
      <c r="K92" s="1">
        <v>7.3</v>
      </c>
      <c r="L92" s="1">
        <v>155</v>
      </c>
      <c r="M92" s="1">
        <v>145</v>
      </c>
      <c r="N92" s="1">
        <v>35</v>
      </c>
      <c r="O92" s="1">
        <v>127</v>
      </c>
      <c r="P92" s="1">
        <v>1.8</v>
      </c>
      <c r="Q92" s="1">
        <v>8.5</v>
      </c>
      <c r="R92" s="1">
        <v>880</v>
      </c>
    </row>
    <row r="93" ht="104.65" spans="1:3">
      <c r="A93" s="1" t="s">
        <v>1067</v>
      </c>
      <c r="B93" t="str">
        <f>_xlfn.DISPIMG("ID_628EA95712CA41C09DD5AAEB7CC9EDB4",1)</f>
        <v>=DISPIMG("ID_628EA95712CA41C09DD5AAEB7CC9EDB4",1)</v>
      </c>
      <c r="C93" s="1">
        <v>91</v>
      </c>
    </row>
    <row r="94" ht="102.75" spans="1:18">
      <c r="A94" s="1" t="s">
        <v>1068</v>
      </c>
      <c r="B94" t="str">
        <f>_xlfn.DISPIMG("ID_E2D8840AC1DA4403816E13466BB26156",1)</f>
        <v>=DISPIMG("ID_E2D8840AC1DA4403816E13466BB26156",1)</v>
      </c>
      <c r="C94" s="1">
        <v>92</v>
      </c>
      <c r="D94" s="1">
        <v>15.1</v>
      </c>
      <c r="E94" s="1">
        <v>14.6</v>
      </c>
      <c r="F94" s="1">
        <v>15.1</v>
      </c>
      <c r="G94" s="1">
        <v>15.1</v>
      </c>
      <c r="H94" s="1">
        <v>19.3</v>
      </c>
      <c r="I94" s="1">
        <v>20.9</v>
      </c>
      <c r="J94" s="1">
        <v>22.4</v>
      </c>
      <c r="K94" s="1">
        <v>19.3</v>
      </c>
      <c r="L94" s="1">
        <v>88</v>
      </c>
      <c r="M94" s="1">
        <v>139</v>
      </c>
      <c r="N94" s="1">
        <v>136</v>
      </c>
      <c r="O94" s="1">
        <v>104</v>
      </c>
      <c r="P94" s="1">
        <v>7.6</v>
      </c>
      <c r="Q94" s="1">
        <v>12.5</v>
      </c>
      <c r="R94" s="1">
        <v>980</v>
      </c>
    </row>
  </sheetData>
  <autoFilter xmlns:etc="http://www.wps.cn/officeDocument/2017/etCustomData" ref="A1:R94" etc:filterBottomFollowUsedRange="0">
    <sortState ref="A2:R94">
      <sortCondition ref="C1"/>
    </sortState>
    <extLst/>
  </autoFilter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19"/>
  <sheetViews>
    <sheetView workbookViewId="0">
      <pane xSplit="1" ySplit="1" topLeftCell="B105" activePane="bottomRight" state="frozen"/>
      <selection/>
      <selection pane="topRight"/>
      <selection pane="bottomLeft"/>
      <selection pane="bottomRight" activeCell="I111" sqref="I111"/>
    </sheetView>
  </sheetViews>
  <sheetFormatPr defaultColWidth="9" defaultRowHeight="13.5" outlineLevelCol="5"/>
  <cols>
    <col min="2" max="2" width="12.5"/>
    <col min="5" max="6" width="9" style="1"/>
  </cols>
  <sheetData>
    <row r="1" spans="1:6">
      <c r="A1" s="2" t="s">
        <v>0</v>
      </c>
      <c r="B1" s="2" t="s">
        <v>1</v>
      </c>
      <c r="C1" s="2" t="s">
        <v>1069</v>
      </c>
      <c r="D1" s="2" t="s">
        <v>1070</v>
      </c>
      <c r="E1" s="2" t="s">
        <v>30</v>
      </c>
      <c r="F1" s="2" t="s">
        <v>1071</v>
      </c>
    </row>
    <row r="2" ht="75" spans="1:6">
      <c r="A2" s="3" t="s">
        <v>1072</v>
      </c>
      <c r="B2" t="str">
        <f>_xlfn.DISPIMG("ID_77626688051947B598E15359CDBD9A11",1)</f>
        <v>=DISPIMG("ID_77626688051947B598E15359CDBD9A11",1)</v>
      </c>
      <c r="C2" s="3" t="s">
        <v>1073</v>
      </c>
      <c r="D2" s="3" t="s">
        <v>1074</v>
      </c>
      <c r="E2" s="4">
        <v>0.3</v>
      </c>
      <c r="F2" s="4" t="s">
        <v>1075</v>
      </c>
    </row>
    <row r="3" ht="75" spans="1:6">
      <c r="A3" s="3" t="s">
        <v>1076</v>
      </c>
      <c r="B3" t="str">
        <f>_xlfn.DISPIMG("ID_745D1FAB2A8F492E92614ACCCA075FDF",1)</f>
        <v>=DISPIMG("ID_745D1FAB2A8F492E92614ACCCA075FDF",1)</v>
      </c>
      <c r="C3" s="3" t="s">
        <v>1073</v>
      </c>
      <c r="D3" s="3" t="s">
        <v>1077</v>
      </c>
      <c r="E3" s="4">
        <v>0.3</v>
      </c>
      <c r="F3" s="4" t="s">
        <v>1075</v>
      </c>
    </row>
    <row r="4" ht="75" spans="1:6">
      <c r="A4" s="3" t="s">
        <v>1078</v>
      </c>
      <c r="B4" t="str">
        <f>_xlfn.DISPIMG("ID_61CE6D5D161A4BEB8F3CC48C01362842",1)</f>
        <v>=DISPIMG("ID_61CE6D5D161A4BEB8F3CC48C01362842",1)</v>
      </c>
      <c r="C4" s="3" t="s">
        <v>1073</v>
      </c>
      <c r="D4" s="3" t="s">
        <v>1079</v>
      </c>
      <c r="E4" s="4">
        <v>0.3</v>
      </c>
      <c r="F4" s="4" t="s">
        <v>1075</v>
      </c>
    </row>
    <row r="5" ht="75" spans="1:6">
      <c r="A5" s="3" t="s">
        <v>1080</v>
      </c>
      <c r="B5" t="str">
        <f>_xlfn.DISPIMG("ID_8C46BFE6D9484C85B9C9457B85232CF4",1)</f>
        <v>=DISPIMG("ID_8C46BFE6D9484C85B9C9457B85232CF4",1)</v>
      </c>
      <c r="C5" s="3" t="s">
        <v>1073</v>
      </c>
      <c r="D5" s="3" t="s">
        <v>1081</v>
      </c>
      <c r="E5" s="4">
        <v>0.3</v>
      </c>
      <c r="F5" s="4" t="s">
        <v>1075</v>
      </c>
    </row>
    <row r="6" ht="75" spans="1:6">
      <c r="A6" s="3" t="s">
        <v>1082</v>
      </c>
      <c r="B6" t="str">
        <f>_xlfn.DISPIMG("ID_F8A0E50ED06B4FFBBB98105207F0DDBA",1)</f>
        <v>=DISPIMG("ID_F8A0E50ED06B4FFBBB98105207F0DDBA",1)</v>
      </c>
      <c r="C6" s="3" t="s">
        <v>1083</v>
      </c>
      <c r="D6" s="3" t="s">
        <v>1084</v>
      </c>
      <c r="E6" s="4">
        <v>0.6</v>
      </c>
      <c r="F6" s="4" t="s">
        <v>1075</v>
      </c>
    </row>
    <row r="7" ht="75" spans="1:6">
      <c r="A7" s="3" t="s">
        <v>1085</v>
      </c>
      <c r="B7" t="str">
        <f>_xlfn.DISPIMG("ID_357173028E0E4373AD1E8DA540FA0FDE",1)</f>
        <v>=DISPIMG("ID_357173028E0E4373AD1E8DA540FA0FDE",1)</v>
      </c>
      <c r="C7" s="3" t="s">
        <v>1086</v>
      </c>
      <c r="D7" s="3" t="s">
        <v>1087</v>
      </c>
      <c r="E7" s="4">
        <v>0.8</v>
      </c>
      <c r="F7" s="4" t="s">
        <v>1075</v>
      </c>
    </row>
    <row r="8" ht="75" spans="1:6">
      <c r="A8" s="3" t="s">
        <v>1088</v>
      </c>
      <c r="B8" t="str">
        <f>_xlfn.DISPIMG("ID_730C520E40EC45AD8F1FC50E5BB34C84",1)</f>
        <v>=DISPIMG("ID_730C520E40EC45AD8F1FC50E5BB34C84",1)</v>
      </c>
      <c r="C8" s="3" t="s">
        <v>1089</v>
      </c>
      <c r="D8" s="3" t="s">
        <v>1090</v>
      </c>
      <c r="E8" s="4">
        <v>0.8</v>
      </c>
      <c r="F8" s="4" t="s">
        <v>1075</v>
      </c>
    </row>
    <row r="9" ht="75" spans="1:6">
      <c r="A9" s="3" t="s">
        <v>1091</v>
      </c>
      <c r="B9" t="str">
        <f>_xlfn.DISPIMG("ID_5625CAC5C133473299DDEF143D102DC8",1)</f>
        <v>=DISPIMG("ID_5625CAC5C133473299DDEF143D102DC8",1)</v>
      </c>
      <c r="C9" s="3" t="s">
        <v>1092</v>
      </c>
      <c r="D9" s="3" t="s">
        <v>1093</v>
      </c>
      <c r="E9" s="4">
        <v>0.7</v>
      </c>
      <c r="F9" s="4" t="s">
        <v>1075</v>
      </c>
    </row>
    <row r="10" ht="75" spans="1:6">
      <c r="A10" s="3" t="s">
        <v>1094</v>
      </c>
      <c r="B10" t="str">
        <f>_xlfn.DISPIMG("ID_AA42F9E0460844C68D1DD98D5F8FB144",1)</f>
        <v>=DISPIMG("ID_AA42F9E0460844C68D1DD98D5F8FB144",1)</v>
      </c>
      <c r="C10" s="3" t="s">
        <v>1092</v>
      </c>
      <c r="D10" s="3" t="s">
        <v>1095</v>
      </c>
      <c r="E10" s="4">
        <v>0.7</v>
      </c>
      <c r="F10" s="4" t="s">
        <v>1075</v>
      </c>
    </row>
    <row r="11" ht="75" spans="1:6">
      <c r="A11" s="3" t="s">
        <v>1096</v>
      </c>
      <c r="B11" t="str">
        <f>_xlfn.DISPIMG("ID_CA73F6F827A9419EB49D2CCDE9FB55D8",1)</f>
        <v>=DISPIMG("ID_CA73F6F827A9419EB49D2CCDE9FB55D8",1)</v>
      </c>
      <c r="C11" s="3" t="s">
        <v>1092</v>
      </c>
      <c r="D11" s="3" t="s">
        <v>1097</v>
      </c>
      <c r="E11" s="4">
        <v>0.7</v>
      </c>
      <c r="F11" s="4" t="s">
        <v>1075</v>
      </c>
    </row>
    <row r="12" ht="75" spans="1:6">
      <c r="A12" s="3" t="s">
        <v>1098</v>
      </c>
      <c r="B12" t="str">
        <f>_xlfn.DISPIMG("ID_57CC75329B04474E9ACEBA7E8A320BFB",1)</f>
        <v>=DISPIMG("ID_57CC75329B04474E9ACEBA7E8A320BFB",1)</v>
      </c>
      <c r="C12" s="3" t="s">
        <v>1092</v>
      </c>
      <c r="D12" s="3" t="s">
        <v>1099</v>
      </c>
      <c r="E12" s="4">
        <v>0.7</v>
      </c>
      <c r="F12" s="4" t="s">
        <v>1100</v>
      </c>
    </row>
    <row r="13" ht="75" spans="1:6">
      <c r="A13" s="3" t="s">
        <v>1101</v>
      </c>
      <c r="B13" t="str">
        <f>_xlfn.DISPIMG("ID_D4BFA581CB90442D87C356E1ED279744",1)</f>
        <v>=DISPIMG("ID_D4BFA581CB90442D87C356E1ED279744",1)</v>
      </c>
      <c r="C13" s="3" t="s">
        <v>1102</v>
      </c>
      <c r="D13" s="3" t="s">
        <v>1103</v>
      </c>
      <c r="E13" s="4">
        <v>1.5</v>
      </c>
      <c r="F13" s="4" t="s">
        <v>1075</v>
      </c>
    </row>
    <row r="14" ht="75" spans="1:6">
      <c r="A14" s="3" t="s">
        <v>1104</v>
      </c>
      <c r="B14" t="str">
        <f>_xlfn.DISPIMG("ID_4C90BC6B4B204D849312026B17D5DD33",1)</f>
        <v>=DISPIMG("ID_4C90BC6B4B204D849312026B17D5DD33",1)</v>
      </c>
      <c r="C14" s="3" t="s">
        <v>1102</v>
      </c>
      <c r="D14" s="3" t="s">
        <v>1105</v>
      </c>
      <c r="E14" s="4">
        <v>1.5</v>
      </c>
      <c r="F14" s="4" t="s">
        <v>1075</v>
      </c>
    </row>
    <row r="15" ht="75" spans="1:6">
      <c r="A15" s="3" t="s">
        <v>1106</v>
      </c>
      <c r="B15" t="str">
        <f>_xlfn.DISPIMG("ID_C53C63A5CBCB47F38C832138996609A1",1)</f>
        <v>=DISPIMG("ID_C53C63A5CBCB47F38C832138996609A1",1)</v>
      </c>
      <c r="C15" s="3" t="s">
        <v>1102</v>
      </c>
      <c r="D15" s="3" t="s">
        <v>1107</v>
      </c>
      <c r="E15" s="4">
        <v>1.5</v>
      </c>
      <c r="F15" s="4" t="s">
        <v>1075</v>
      </c>
    </row>
    <row r="16" ht="75" spans="1:6">
      <c r="A16" s="3" t="s">
        <v>1108</v>
      </c>
      <c r="B16" t="str">
        <f>_xlfn.DISPIMG("ID_8261824611EB44639C2008E937982B75",1)</f>
        <v>=DISPIMG("ID_8261824611EB44639C2008E937982B75",1)</v>
      </c>
      <c r="C16" s="3" t="s">
        <v>1102</v>
      </c>
      <c r="D16" s="3" t="s">
        <v>1109</v>
      </c>
      <c r="E16" s="4">
        <v>1.5</v>
      </c>
      <c r="F16" s="4" t="s">
        <v>1100</v>
      </c>
    </row>
    <row r="17" ht="75" spans="1:6">
      <c r="A17" s="3" t="s">
        <v>1110</v>
      </c>
      <c r="B17" t="str">
        <f>_xlfn.DISPIMG("ID_DC99966299DF429FBD8125D84E50C3B2",1)</f>
        <v>=DISPIMG("ID_DC99966299DF429FBD8125D84E50C3B2",1)</v>
      </c>
      <c r="C17" s="3" t="s">
        <v>1111</v>
      </c>
      <c r="D17" s="3" t="s">
        <v>1112</v>
      </c>
      <c r="E17" s="4">
        <v>1.5</v>
      </c>
      <c r="F17" s="4" t="s">
        <v>1075</v>
      </c>
    </row>
    <row r="18" ht="75" spans="1:6">
      <c r="A18" s="3" t="s">
        <v>1113</v>
      </c>
      <c r="B18" t="str">
        <f>_xlfn.DISPIMG("ID_75F84B45A8294ED3A6C59A242E7E9DCA",1)</f>
        <v>=DISPIMG("ID_75F84B45A8294ED3A6C59A242E7E9DCA",1)</v>
      </c>
      <c r="C18" s="3" t="s">
        <v>1111</v>
      </c>
      <c r="D18" s="3" t="s">
        <v>1114</v>
      </c>
      <c r="E18" s="4">
        <v>1.5</v>
      </c>
      <c r="F18" s="4" t="s">
        <v>1075</v>
      </c>
    </row>
    <row r="19" ht="75" spans="1:6">
      <c r="A19" s="3" t="s">
        <v>1115</v>
      </c>
      <c r="B19" t="str">
        <f>_xlfn.DISPIMG("ID_7656AEC3969A48D8B395992EC8DEFC1B",1)</f>
        <v>=DISPIMG("ID_7656AEC3969A48D8B395992EC8DEFC1B",1)</v>
      </c>
      <c r="C19" s="3" t="s">
        <v>1111</v>
      </c>
      <c r="D19" s="3" t="s">
        <v>1116</v>
      </c>
      <c r="E19" s="4">
        <v>1.5</v>
      </c>
      <c r="F19" s="4" t="s">
        <v>1075</v>
      </c>
    </row>
    <row r="20" ht="75" spans="1:6">
      <c r="A20" s="3" t="s">
        <v>1117</v>
      </c>
      <c r="B20" t="str">
        <f>_xlfn.DISPIMG("ID_ED6F01064824400886F26D3161B280C1",1)</f>
        <v>=DISPIMG("ID_ED6F01064824400886F26D3161B280C1",1)</v>
      </c>
      <c r="C20" s="3" t="s">
        <v>1111</v>
      </c>
      <c r="D20" s="3" t="s">
        <v>1118</v>
      </c>
      <c r="E20" s="4">
        <v>1.5</v>
      </c>
      <c r="F20" s="4" t="s">
        <v>1100</v>
      </c>
    </row>
    <row r="21" ht="75" spans="1:6">
      <c r="A21" s="3" t="s">
        <v>1119</v>
      </c>
      <c r="B21" t="str">
        <f>_xlfn.DISPIMG("ID_BA9A0FEF0DAB4FD0894605F7E2817E8A",1)</f>
        <v>=DISPIMG("ID_BA9A0FEF0DAB4FD0894605F7E2817E8A",1)</v>
      </c>
      <c r="C21" s="3" t="s">
        <v>1120</v>
      </c>
      <c r="D21" s="3" t="s">
        <v>1121</v>
      </c>
      <c r="E21" s="4">
        <v>0.8</v>
      </c>
      <c r="F21" s="4" t="s">
        <v>1075</v>
      </c>
    </row>
    <row r="22" ht="75" spans="1:6">
      <c r="A22" s="3" t="s">
        <v>1122</v>
      </c>
      <c r="B22" t="str">
        <f>_xlfn.DISPIMG("ID_CC7A2BA2E723474DB4438A97E034ADBF",1)</f>
        <v>=DISPIMG("ID_CC7A2BA2E723474DB4438A97E034ADBF",1)</v>
      </c>
      <c r="C22" s="3" t="s">
        <v>1123</v>
      </c>
      <c r="D22" s="3" t="s">
        <v>1124</v>
      </c>
      <c r="E22" s="4">
        <v>0.8</v>
      </c>
      <c r="F22" s="4" t="s">
        <v>1075</v>
      </c>
    </row>
    <row r="23" ht="75" spans="1:6">
      <c r="A23" s="3" t="s">
        <v>1125</v>
      </c>
      <c r="B23" t="str">
        <f>_xlfn.DISPIMG("ID_DE997CB4645A45B9A38AC24ED1610F2B",1)</f>
        <v>=DISPIMG("ID_DE997CB4645A45B9A38AC24ED1610F2B",1)</v>
      </c>
      <c r="C23" s="3" t="s">
        <v>1123</v>
      </c>
      <c r="D23" s="3" t="s">
        <v>1126</v>
      </c>
      <c r="E23" s="4">
        <v>0.8</v>
      </c>
      <c r="F23" s="4" t="s">
        <v>1075</v>
      </c>
    </row>
    <row r="24" ht="75" spans="1:6">
      <c r="A24" s="3" t="s">
        <v>1127</v>
      </c>
      <c r="B24" t="str">
        <f>_xlfn.DISPIMG("ID_A7CA86F35E464C6A91637A568837A6CB",1)</f>
        <v>=DISPIMG("ID_A7CA86F35E464C6A91637A568837A6CB",1)</v>
      </c>
      <c r="C24" s="3" t="s">
        <v>1123</v>
      </c>
      <c r="D24" s="3" t="s">
        <v>1128</v>
      </c>
      <c r="E24" s="4">
        <v>0.8</v>
      </c>
      <c r="F24" s="4" t="s">
        <v>1075</v>
      </c>
    </row>
    <row r="25" ht="75" spans="1:6">
      <c r="A25" s="3" t="s">
        <v>1129</v>
      </c>
      <c r="B25" t="str">
        <f>_xlfn.DISPIMG("ID_7EDCFC4FA98546DDA165D501E8BB4896",1)</f>
        <v>=DISPIMG("ID_7EDCFC4FA98546DDA165D501E8BB4896",1)</v>
      </c>
      <c r="C25" s="3" t="s">
        <v>1123</v>
      </c>
      <c r="D25" s="3" t="s">
        <v>1130</v>
      </c>
      <c r="E25" s="4">
        <v>0.8</v>
      </c>
      <c r="F25" s="4" t="s">
        <v>1100</v>
      </c>
    </row>
    <row r="26" ht="75" spans="1:6">
      <c r="A26" s="3" t="s">
        <v>1131</v>
      </c>
      <c r="B26" t="str">
        <f>_xlfn.DISPIMG("ID_3678FB225BE44D4E9FB5191DD8C8E86D",1)</f>
        <v>=DISPIMG("ID_3678FB225BE44D4E9FB5191DD8C8E86D",1)</v>
      </c>
      <c r="C26" s="3" t="s">
        <v>1132</v>
      </c>
      <c r="D26" s="3" t="s">
        <v>1133</v>
      </c>
      <c r="E26" s="4">
        <v>0.6</v>
      </c>
      <c r="F26" s="4" t="s">
        <v>1075</v>
      </c>
    </row>
    <row r="27" ht="75" spans="1:6">
      <c r="A27" s="3" t="s">
        <v>1134</v>
      </c>
      <c r="B27" t="str">
        <f>_xlfn.DISPIMG("ID_A2B02A8E155440118F282E4867920069",1)</f>
        <v>=DISPIMG("ID_A2B02A8E155440118F282E4867920069",1)</v>
      </c>
      <c r="C27" s="3" t="s">
        <v>1132</v>
      </c>
      <c r="D27" s="3" t="s">
        <v>1135</v>
      </c>
      <c r="E27" s="4">
        <v>0.6</v>
      </c>
      <c r="F27" s="4" t="s">
        <v>1075</v>
      </c>
    </row>
    <row r="28" ht="75" spans="1:6">
      <c r="A28" s="3" t="s">
        <v>1136</v>
      </c>
      <c r="B28" t="str">
        <f>_xlfn.DISPIMG("ID_1B91D319B2AC4F5B8FB2F87CBC2FE4A0",1)</f>
        <v>=DISPIMG("ID_1B91D319B2AC4F5B8FB2F87CBC2FE4A0",1)</v>
      </c>
      <c r="C28" s="3" t="s">
        <v>1132</v>
      </c>
      <c r="D28" s="3" t="s">
        <v>1137</v>
      </c>
      <c r="E28" s="4">
        <v>0.6</v>
      </c>
      <c r="F28" s="4" t="s">
        <v>1075</v>
      </c>
    </row>
    <row r="29" ht="75" spans="1:6">
      <c r="A29" s="3" t="s">
        <v>1138</v>
      </c>
      <c r="B29" t="str">
        <f>_xlfn.DISPIMG("ID_8D01DB2D1110425A9D21B42105B0BCCD",1)</f>
        <v>=DISPIMG("ID_8D01DB2D1110425A9D21B42105B0BCCD",1)</v>
      </c>
      <c r="C29" s="3" t="s">
        <v>1139</v>
      </c>
      <c r="D29" s="3" t="s">
        <v>1140</v>
      </c>
      <c r="E29" s="4">
        <v>0.6</v>
      </c>
      <c r="F29" s="4" t="s">
        <v>1075</v>
      </c>
    </row>
    <row r="30" ht="75" spans="1:6">
      <c r="A30" s="3" t="s">
        <v>1141</v>
      </c>
      <c r="B30" t="str">
        <f>_xlfn.DISPIMG("ID_36D29A0043CD4B5087179F7010040A61",1)</f>
        <v>=DISPIMG("ID_36D29A0043CD4B5087179F7010040A61",1)</v>
      </c>
      <c r="C30" s="3" t="s">
        <v>1139</v>
      </c>
      <c r="D30" s="3" t="s">
        <v>1142</v>
      </c>
      <c r="E30" s="4">
        <v>0.6</v>
      </c>
      <c r="F30" s="4" t="s">
        <v>1075</v>
      </c>
    </row>
    <row r="31" ht="75" spans="1:6">
      <c r="A31" s="3" t="s">
        <v>1143</v>
      </c>
      <c r="B31" t="str">
        <f>_xlfn.DISPIMG("ID_725B1A94FBBC43D99B627B6857C2F93C",1)</f>
        <v>=DISPIMG("ID_725B1A94FBBC43D99B627B6857C2F93C",1)</v>
      </c>
      <c r="C31" s="3" t="s">
        <v>1139</v>
      </c>
      <c r="D31" s="3" t="s">
        <v>1144</v>
      </c>
      <c r="E31" s="4">
        <v>0.6</v>
      </c>
      <c r="F31" s="4" t="s">
        <v>1075</v>
      </c>
    </row>
    <row r="32" ht="75" spans="1:6">
      <c r="A32" s="3" t="s">
        <v>1145</v>
      </c>
      <c r="B32" t="str">
        <f>_xlfn.DISPIMG("ID_C091F98F752E4580886A9679A1A9069B",1)</f>
        <v>=DISPIMG("ID_C091F98F752E4580886A9679A1A9069B",1)</v>
      </c>
      <c r="C32" s="3" t="s">
        <v>1146</v>
      </c>
      <c r="D32" s="3" t="s">
        <v>1147</v>
      </c>
      <c r="E32" s="4">
        <v>0.6</v>
      </c>
      <c r="F32" s="4" t="s">
        <v>1148</v>
      </c>
    </row>
    <row r="33" ht="75" spans="1:6">
      <c r="A33" s="3" t="s">
        <v>1149</v>
      </c>
      <c r="B33" t="str">
        <f>_xlfn.DISPIMG("ID_0EC3A663C34D438E8257C399F955FD1B",1)</f>
        <v>=DISPIMG("ID_0EC3A663C34D438E8257C399F955FD1B",1)</v>
      </c>
      <c r="C33" s="3" t="s">
        <v>1146</v>
      </c>
      <c r="D33" s="3" t="s">
        <v>1150</v>
      </c>
      <c r="E33" s="4">
        <v>0.6</v>
      </c>
      <c r="F33" s="4" t="s">
        <v>1148</v>
      </c>
    </row>
    <row r="34" ht="75" spans="1:6">
      <c r="A34" s="3" t="s">
        <v>1151</v>
      </c>
      <c r="B34" t="str">
        <f>_xlfn.DISPIMG("ID_D2920E3BF9B4445CB8122C7BCC86E3E6",1)</f>
        <v>=DISPIMG("ID_D2920E3BF9B4445CB8122C7BCC86E3E6",1)</v>
      </c>
      <c r="C34" s="3" t="s">
        <v>1146</v>
      </c>
      <c r="D34" s="3" t="s">
        <v>1152</v>
      </c>
      <c r="E34" s="4">
        <v>0.6</v>
      </c>
      <c r="F34" s="4" t="s">
        <v>1148</v>
      </c>
    </row>
    <row r="35" ht="75" spans="1:6">
      <c r="A35" s="3" t="s">
        <v>1153</v>
      </c>
      <c r="B35" t="str">
        <f>_xlfn.DISPIMG("ID_4500EA755F2941A2BDF3B44D320F385B",1)</f>
        <v>=DISPIMG("ID_4500EA755F2941A2BDF3B44D320F385B",1)</v>
      </c>
      <c r="C35" s="3" t="s">
        <v>1154</v>
      </c>
      <c r="D35" s="3" t="s">
        <v>1155</v>
      </c>
      <c r="E35" s="4">
        <v>0.6</v>
      </c>
      <c r="F35" s="4" t="s">
        <v>1075</v>
      </c>
    </row>
    <row r="36" ht="75" spans="1:6">
      <c r="A36" s="3" t="s">
        <v>1156</v>
      </c>
      <c r="B36" t="str">
        <f>_xlfn.DISPIMG("ID_95BA699F7C5142F5A1D7953FEE88B10D",1)</f>
        <v>=DISPIMG("ID_95BA699F7C5142F5A1D7953FEE88B10D",1)</v>
      </c>
      <c r="C36" s="3" t="s">
        <v>1154</v>
      </c>
      <c r="D36" s="3" t="s">
        <v>1157</v>
      </c>
      <c r="E36" s="4">
        <v>0.6</v>
      </c>
      <c r="F36" s="4" t="s">
        <v>1075</v>
      </c>
    </row>
    <row r="37" ht="75" spans="1:6">
      <c r="A37" s="3" t="s">
        <v>1158</v>
      </c>
      <c r="B37" t="str">
        <f>_xlfn.DISPIMG("ID_FFD3346F8C304776A16168A1072F9C2A",1)</f>
        <v>=DISPIMG("ID_FFD3346F8C304776A16168A1072F9C2A",1)</v>
      </c>
      <c r="C37" s="3" t="s">
        <v>1154</v>
      </c>
      <c r="D37" s="3" t="s">
        <v>1159</v>
      </c>
      <c r="E37" s="4">
        <v>0.6</v>
      </c>
      <c r="F37" s="4" t="s">
        <v>1075</v>
      </c>
    </row>
    <row r="38" ht="75" spans="1:6">
      <c r="A38" s="3" t="s">
        <v>1160</v>
      </c>
      <c r="B38" t="str">
        <f>_xlfn.DISPIMG("ID_3902D613903643EEA092F22FC0B33BA9",1)</f>
        <v>=DISPIMG("ID_3902D613903643EEA092F22FC0B33BA9",1)</v>
      </c>
      <c r="C38" s="3" t="s">
        <v>1161</v>
      </c>
      <c r="D38" s="3" t="s">
        <v>1162</v>
      </c>
      <c r="E38" s="4">
        <v>0.9</v>
      </c>
      <c r="F38" s="4" t="s">
        <v>1075</v>
      </c>
    </row>
    <row r="39" ht="75" spans="1:6">
      <c r="A39" s="3" t="s">
        <v>1163</v>
      </c>
      <c r="B39" t="str">
        <f>_xlfn.DISPIMG("ID_10A0226A1C4245CAACD35BC70C943FAD",1)</f>
        <v>=DISPIMG("ID_10A0226A1C4245CAACD35BC70C943FAD",1)</v>
      </c>
      <c r="C39" s="3" t="s">
        <v>1161</v>
      </c>
      <c r="D39" s="3" t="s">
        <v>1164</v>
      </c>
      <c r="E39" s="4">
        <v>0.9</v>
      </c>
      <c r="F39" s="4" t="s">
        <v>1075</v>
      </c>
    </row>
    <row r="40" ht="75" spans="1:6">
      <c r="A40" s="3" t="s">
        <v>1165</v>
      </c>
      <c r="B40" t="str">
        <f>_xlfn.DISPIMG("ID_3337EFB4EB014699A2938BDA7D3D4F2F",1)</f>
        <v>=DISPIMG("ID_3337EFB4EB014699A2938BDA7D3D4F2F",1)</v>
      </c>
      <c r="C40" s="3" t="s">
        <v>1166</v>
      </c>
      <c r="D40" s="3" t="s">
        <v>1167</v>
      </c>
      <c r="E40" s="4">
        <v>0.6</v>
      </c>
      <c r="F40" s="4" t="s">
        <v>1075</v>
      </c>
    </row>
    <row r="41" ht="75" spans="1:6">
      <c r="A41" s="3" t="s">
        <v>1168</v>
      </c>
      <c r="B41" t="str">
        <f>_xlfn.DISPIMG("ID_81CA9F46D69849898B73895906568DCA",1)</f>
        <v>=DISPIMG("ID_81CA9F46D69849898B73895906568DCA",1)</v>
      </c>
      <c r="C41" s="3" t="s">
        <v>1166</v>
      </c>
      <c r="D41" s="3" t="s">
        <v>1169</v>
      </c>
      <c r="E41" s="4">
        <v>0.6</v>
      </c>
      <c r="F41" s="4" t="s">
        <v>1075</v>
      </c>
    </row>
    <row r="42" ht="75" spans="1:6">
      <c r="A42" s="3" t="s">
        <v>1170</v>
      </c>
      <c r="B42" t="str">
        <f>_xlfn.DISPIMG("ID_DD182FC57A754CE9B5ED3D951CDAAA11",1)</f>
        <v>=DISPIMG("ID_DD182FC57A754CE9B5ED3D951CDAAA11",1)</v>
      </c>
      <c r="C42" s="3" t="s">
        <v>1171</v>
      </c>
      <c r="D42" s="3" t="s">
        <v>1172</v>
      </c>
      <c r="E42" s="4">
        <v>0.6</v>
      </c>
      <c r="F42" s="4" t="s">
        <v>1075</v>
      </c>
    </row>
    <row r="43" ht="75" spans="1:6">
      <c r="A43" s="3" t="s">
        <v>1173</v>
      </c>
      <c r="B43" t="str">
        <f>_xlfn.DISPIMG("ID_B3A467E2D4394182911DECA7662A4DCE",1)</f>
        <v>=DISPIMG("ID_B3A467E2D4394182911DECA7662A4DCE",1)</v>
      </c>
      <c r="C43" s="3" t="s">
        <v>1171</v>
      </c>
      <c r="D43" s="3" t="s">
        <v>1174</v>
      </c>
      <c r="E43" s="4">
        <v>0.6</v>
      </c>
      <c r="F43" s="4" t="s">
        <v>1075</v>
      </c>
    </row>
    <row r="44" ht="75" spans="1:6">
      <c r="A44" s="3" t="s">
        <v>1175</v>
      </c>
      <c r="B44" t="str">
        <f>_xlfn.DISPIMG("ID_4F4395B3C8FD448F9F8113051735D3C0",1)</f>
        <v>=DISPIMG("ID_4F4395B3C8FD448F9F8113051735D3C0",1)</v>
      </c>
      <c r="C44" s="3" t="s">
        <v>1176</v>
      </c>
      <c r="D44" s="3" t="s">
        <v>1177</v>
      </c>
      <c r="E44" s="4">
        <v>0.6</v>
      </c>
      <c r="F44" s="4" t="s">
        <v>1100</v>
      </c>
    </row>
    <row r="45" ht="75" spans="1:6">
      <c r="A45" s="3" t="s">
        <v>1178</v>
      </c>
      <c r="B45" t="str">
        <f>_xlfn.DISPIMG("ID_DEFF90440E4642019397A6C4C112F397",1)</f>
        <v>=DISPIMG("ID_DEFF90440E4642019397A6C4C112F397",1)</v>
      </c>
      <c r="C45" s="3" t="s">
        <v>1179</v>
      </c>
      <c r="D45" s="3" t="s">
        <v>1180</v>
      </c>
      <c r="E45" s="4">
        <v>0.6</v>
      </c>
      <c r="F45" s="4" t="s">
        <v>1075</v>
      </c>
    </row>
    <row r="46" ht="75" spans="1:6">
      <c r="A46" s="3" t="s">
        <v>1181</v>
      </c>
      <c r="B46" t="str">
        <f>_xlfn.DISPIMG("ID_6AC803BC05F04F8FAC8976EC86A8780B",1)</f>
        <v>=DISPIMG("ID_6AC803BC05F04F8FAC8976EC86A8780B",1)</v>
      </c>
      <c r="C46" s="3" t="s">
        <v>1182</v>
      </c>
      <c r="D46" s="3" t="s">
        <v>1183</v>
      </c>
      <c r="E46" s="4">
        <v>0.9</v>
      </c>
      <c r="F46" s="4" t="s">
        <v>1075</v>
      </c>
    </row>
    <row r="47" ht="75" spans="1:6">
      <c r="A47" s="3" t="s">
        <v>1184</v>
      </c>
      <c r="B47" t="str">
        <f>_xlfn.DISPIMG("ID_536B1E796CA54C639822C2CF1890D587",1)</f>
        <v>=DISPIMG("ID_536B1E796CA54C639822C2CF1890D587",1)</v>
      </c>
      <c r="C47" s="3" t="s">
        <v>1182</v>
      </c>
      <c r="D47" s="3" t="s">
        <v>1185</v>
      </c>
      <c r="E47" s="4">
        <v>0.9</v>
      </c>
      <c r="F47" s="4" t="s">
        <v>1075</v>
      </c>
    </row>
    <row r="48" ht="75" spans="1:6">
      <c r="A48" s="3" t="s">
        <v>1186</v>
      </c>
      <c r="B48" t="str">
        <f>_xlfn.DISPIMG("ID_CE99583CF27D43AF8FFCB001897F1CAE",1)</f>
        <v>=DISPIMG("ID_CE99583CF27D43AF8FFCB001897F1CAE",1)</v>
      </c>
      <c r="C48" s="3" t="s">
        <v>1187</v>
      </c>
      <c r="D48" s="3" t="s">
        <v>1188</v>
      </c>
      <c r="E48" s="4">
        <v>0.8</v>
      </c>
      <c r="F48" s="4" t="s">
        <v>1075</v>
      </c>
    </row>
    <row r="49" ht="75" spans="1:6">
      <c r="A49" s="3" t="s">
        <v>1189</v>
      </c>
      <c r="B49" t="str">
        <f>_xlfn.DISPIMG("ID_71BAD56A82DD4BB78E77AC20CE03740B",1)</f>
        <v>=DISPIMG("ID_71BAD56A82DD4BB78E77AC20CE03740B",1)</v>
      </c>
      <c r="C49" s="3" t="s">
        <v>1190</v>
      </c>
      <c r="D49" s="3" t="s">
        <v>1191</v>
      </c>
      <c r="E49" s="4">
        <v>0.8</v>
      </c>
      <c r="F49" s="4" t="s">
        <v>1075</v>
      </c>
    </row>
    <row r="50" ht="75" spans="1:6">
      <c r="A50" s="3" t="s">
        <v>1192</v>
      </c>
      <c r="B50" t="str">
        <f>_xlfn.DISPIMG("ID_88A5B791524F401DADFE3BDB0469305F",1)</f>
        <v>=DISPIMG("ID_88A5B791524F401DADFE3BDB0469305F",1)</v>
      </c>
      <c r="C50" s="3" t="s">
        <v>1193</v>
      </c>
      <c r="D50" s="3" t="s">
        <v>1194</v>
      </c>
      <c r="E50" s="4">
        <v>0.6</v>
      </c>
      <c r="F50" s="4" t="s">
        <v>1075</v>
      </c>
    </row>
    <row r="51" ht="75" spans="1:6">
      <c r="A51" s="3" t="s">
        <v>1195</v>
      </c>
      <c r="B51" t="str">
        <f>_xlfn.DISPIMG("ID_7CF6EDBFD0DF495893E700AD9BB0E0FA",1)</f>
        <v>=DISPIMG("ID_7CF6EDBFD0DF495893E700AD9BB0E0FA",1)</v>
      </c>
      <c r="C51" s="3" t="s">
        <v>1196</v>
      </c>
      <c r="D51" s="3" t="s">
        <v>1197</v>
      </c>
      <c r="E51" s="4">
        <v>0.6</v>
      </c>
      <c r="F51" s="4" t="s">
        <v>1075</v>
      </c>
    </row>
    <row r="52" ht="75" spans="1:6">
      <c r="A52" s="3" t="s">
        <v>1198</v>
      </c>
      <c r="B52" t="str">
        <f>_xlfn.DISPIMG("ID_302D9A0FE4C344339CF57D778718EF72",1)</f>
        <v>=DISPIMG("ID_302D9A0FE4C344339CF57D778718EF72",1)</v>
      </c>
      <c r="C52" s="3" t="s">
        <v>1199</v>
      </c>
      <c r="D52" s="3" t="s">
        <v>1200</v>
      </c>
      <c r="E52" s="4">
        <v>1.2</v>
      </c>
      <c r="F52" s="4" t="s">
        <v>1075</v>
      </c>
    </row>
    <row r="53" ht="75" spans="1:6">
      <c r="A53" s="3" t="s">
        <v>1201</v>
      </c>
      <c r="B53" t="str">
        <f>_xlfn.DISPIMG("ID_12EDEA93AC51483794FF9A059B176D59",1)</f>
        <v>=DISPIMG("ID_12EDEA93AC51483794FF9A059B176D59",1)</v>
      </c>
      <c r="C53" s="3" t="s">
        <v>1199</v>
      </c>
      <c r="D53" s="3" t="s">
        <v>1202</v>
      </c>
      <c r="E53" s="4">
        <v>1.2</v>
      </c>
      <c r="F53" s="4" t="s">
        <v>1075</v>
      </c>
    </row>
    <row r="54" ht="75" spans="1:6">
      <c r="A54" s="3" t="s">
        <v>1203</v>
      </c>
      <c r="B54" t="str">
        <f>_xlfn.DISPIMG("ID_8F4D19FDF3B24210BD6406610EB1ADDC",1)</f>
        <v>=DISPIMG("ID_8F4D19FDF3B24210BD6406610EB1ADDC",1)</v>
      </c>
      <c r="C54" s="3" t="s">
        <v>1199</v>
      </c>
      <c r="D54" s="3" t="s">
        <v>1204</v>
      </c>
      <c r="E54" s="4">
        <v>1.2</v>
      </c>
      <c r="F54" s="4" t="s">
        <v>1075</v>
      </c>
    </row>
    <row r="55" ht="75" spans="1:6">
      <c r="A55" s="3" t="s">
        <v>1205</v>
      </c>
      <c r="B55" t="str">
        <f>_xlfn.DISPIMG("ID_97EA086164B04AFE95303D9818707696",1)</f>
        <v>=DISPIMG("ID_97EA086164B04AFE95303D9818707696",1)</v>
      </c>
      <c r="C55" s="3" t="s">
        <v>1199</v>
      </c>
      <c r="D55" s="3" t="s">
        <v>1206</v>
      </c>
      <c r="E55" s="4">
        <v>1.2</v>
      </c>
      <c r="F55" s="4" t="s">
        <v>1100</v>
      </c>
    </row>
    <row r="56" ht="75" spans="1:6">
      <c r="A56" s="3" t="s">
        <v>1207</v>
      </c>
      <c r="B56" t="str">
        <f>_xlfn.DISPIMG("ID_4E96C1B48A7D44DC9025EF4AFBA9AB97",1)</f>
        <v>=DISPIMG("ID_4E96C1B48A7D44DC9025EF4AFBA9AB97",1)</v>
      </c>
      <c r="C56" s="3" t="s">
        <v>1208</v>
      </c>
      <c r="D56" s="3" t="s">
        <v>1209</v>
      </c>
      <c r="E56" s="4">
        <v>1.2</v>
      </c>
      <c r="F56" s="4" t="s">
        <v>1075</v>
      </c>
    </row>
    <row r="57" ht="75" spans="1:6">
      <c r="A57" s="3" t="s">
        <v>1210</v>
      </c>
      <c r="B57" t="str">
        <f>_xlfn.DISPIMG("ID_22811A66A11441369B2EF51FB7A93A25",1)</f>
        <v>=DISPIMG("ID_22811A66A11441369B2EF51FB7A93A25",1)</v>
      </c>
      <c r="C57" s="3" t="s">
        <v>1208</v>
      </c>
      <c r="D57" s="3" t="s">
        <v>1211</v>
      </c>
      <c r="E57" s="4">
        <v>1.2</v>
      </c>
      <c r="F57" s="4" t="s">
        <v>1075</v>
      </c>
    </row>
    <row r="58" ht="75" spans="1:6">
      <c r="A58" s="3" t="s">
        <v>1212</v>
      </c>
      <c r="B58" t="str">
        <f>_xlfn.DISPIMG("ID_D3C7A625EA304D848471D15EDD893FCA",1)</f>
        <v>=DISPIMG("ID_D3C7A625EA304D848471D15EDD893FCA",1)</v>
      </c>
      <c r="C58" s="3" t="s">
        <v>1208</v>
      </c>
      <c r="D58" s="3" t="s">
        <v>1213</v>
      </c>
      <c r="E58" s="4">
        <v>1.2</v>
      </c>
      <c r="F58" s="4" t="s">
        <v>1075</v>
      </c>
    </row>
    <row r="59" ht="75" spans="1:6">
      <c r="A59" s="3" t="s">
        <v>1214</v>
      </c>
      <c r="B59" t="str">
        <f>_xlfn.DISPIMG("ID_3CFFA37D375F4CE68DDD20013F93FB1F",1)</f>
        <v>=DISPIMG("ID_3CFFA37D375F4CE68DDD20013F93FB1F",1)</v>
      </c>
      <c r="C59" s="3" t="s">
        <v>1208</v>
      </c>
      <c r="D59" s="3" t="s">
        <v>1215</v>
      </c>
      <c r="E59" s="4">
        <v>1.2</v>
      </c>
      <c r="F59" s="4" t="s">
        <v>1100</v>
      </c>
    </row>
    <row r="60" ht="75" spans="1:6">
      <c r="A60" s="3" t="s">
        <v>1216</v>
      </c>
      <c r="B60" t="str">
        <f>_xlfn.DISPIMG("ID_018E49F35B08414A869D371453FE3114",1)</f>
        <v>=DISPIMG("ID_018E49F35B08414A869D371453FE3114",1)</v>
      </c>
      <c r="C60" s="3" t="s">
        <v>1217</v>
      </c>
      <c r="D60" s="3" t="s">
        <v>1218</v>
      </c>
      <c r="E60" s="4">
        <v>0.5</v>
      </c>
      <c r="F60" s="4" t="s">
        <v>1075</v>
      </c>
    </row>
    <row r="61" ht="75" spans="1:6">
      <c r="A61" s="3" t="s">
        <v>1219</v>
      </c>
      <c r="B61" t="str">
        <f>_xlfn.DISPIMG("ID_F276508E8F47460C861AA68C40802703",1)</f>
        <v>=DISPIMG("ID_F276508E8F47460C861AA68C40802703",1)</v>
      </c>
      <c r="C61" s="3" t="s">
        <v>1217</v>
      </c>
      <c r="D61" s="3" t="s">
        <v>1218</v>
      </c>
      <c r="E61" s="4">
        <v>0.5</v>
      </c>
      <c r="F61" s="4" t="s">
        <v>1075</v>
      </c>
    </row>
    <row r="62" ht="75" spans="1:6">
      <c r="A62" s="3" t="s">
        <v>1220</v>
      </c>
      <c r="B62" t="str">
        <f>_xlfn.DISPIMG("ID_4C51DD75372D42088DBFDECEFC10A9EA",1)</f>
        <v>=DISPIMG("ID_4C51DD75372D42088DBFDECEFC10A9EA",1)</v>
      </c>
      <c r="C62" s="3" t="s">
        <v>1221</v>
      </c>
      <c r="D62" s="3" t="s">
        <v>1222</v>
      </c>
      <c r="E62" s="4">
        <v>0.8</v>
      </c>
      <c r="F62" s="4" t="s">
        <v>1075</v>
      </c>
    </row>
    <row r="63" ht="75" spans="1:6">
      <c r="A63" s="3" t="s">
        <v>1223</v>
      </c>
      <c r="B63" t="str">
        <f>_xlfn.DISPIMG("ID_F4055733E6A04CAABE0AB1A9F021F112",1)</f>
        <v>=DISPIMG("ID_F4055733E6A04CAABE0AB1A9F021F112",1)</v>
      </c>
      <c r="C63" s="3" t="s">
        <v>1224</v>
      </c>
      <c r="D63" s="3" t="s">
        <v>1225</v>
      </c>
      <c r="E63" s="4">
        <v>0.7</v>
      </c>
      <c r="F63" s="4" t="s">
        <v>1075</v>
      </c>
    </row>
    <row r="64" ht="75" spans="1:6">
      <c r="A64" s="3" t="s">
        <v>1226</v>
      </c>
      <c r="B64" t="str">
        <f>_xlfn.DISPIMG("ID_3FF4B0FBE13B4D9FB5351609FCA98BE4",1)</f>
        <v>=DISPIMG("ID_3FF4B0FBE13B4D9FB5351609FCA98BE4",1)</v>
      </c>
      <c r="C64" s="3" t="s">
        <v>1227</v>
      </c>
      <c r="D64" s="3" t="s">
        <v>1228</v>
      </c>
      <c r="E64" s="4">
        <v>1</v>
      </c>
      <c r="F64" s="4" t="s">
        <v>1075</v>
      </c>
    </row>
    <row r="65" ht="75" spans="1:6">
      <c r="A65" s="3" t="s">
        <v>1229</v>
      </c>
      <c r="B65" t="str">
        <f>_xlfn.DISPIMG("ID_D824B7BBB2E64692AA73AC1DED720EAB",1)</f>
        <v>=DISPIMG("ID_D824B7BBB2E64692AA73AC1DED720EAB",1)</v>
      </c>
      <c r="C65" s="3" t="s">
        <v>1230</v>
      </c>
      <c r="D65" s="3" t="s">
        <v>1231</v>
      </c>
      <c r="E65" s="4">
        <v>0.7</v>
      </c>
      <c r="F65" s="4" t="s">
        <v>1075</v>
      </c>
    </row>
    <row r="66" ht="75" spans="1:6">
      <c r="A66" s="3" t="s">
        <v>1232</v>
      </c>
      <c r="B66" t="str">
        <f>_xlfn.DISPIMG("ID_6886F74F356C49A2B7A8C6F312BC2644",1)</f>
        <v>=DISPIMG("ID_6886F74F356C49A2B7A8C6F312BC2644",1)</v>
      </c>
      <c r="C66" s="3" t="s">
        <v>1233</v>
      </c>
      <c r="D66" s="3" t="s">
        <v>1234</v>
      </c>
      <c r="E66" s="4">
        <v>1</v>
      </c>
      <c r="F66" s="4" t="s">
        <v>1075</v>
      </c>
    </row>
    <row r="67" ht="75" spans="1:6">
      <c r="A67" s="3" t="s">
        <v>1235</v>
      </c>
      <c r="B67" t="str">
        <f>_xlfn.DISPIMG("ID_B8A79FF64A4E4D259C8498BB0141C538",1)</f>
        <v>=DISPIMG("ID_B8A79FF64A4E4D259C8498BB0141C538",1)</v>
      </c>
      <c r="C67" s="3" t="s">
        <v>1236</v>
      </c>
      <c r="D67" s="3" t="s">
        <v>1237</v>
      </c>
      <c r="E67" s="4">
        <v>0.7</v>
      </c>
      <c r="F67" s="4" t="s">
        <v>1075</v>
      </c>
    </row>
    <row r="68" ht="75" spans="1:6">
      <c r="A68" s="3" t="s">
        <v>1238</v>
      </c>
      <c r="B68" t="str">
        <f>_xlfn.DISPIMG("ID_DD602E7790DC4B0C97368B29C7522F25",1)</f>
        <v>=DISPIMG("ID_DD602E7790DC4B0C97368B29C7522F25",1)</v>
      </c>
      <c r="C68" s="3" t="s">
        <v>1239</v>
      </c>
      <c r="D68" s="3" t="s">
        <v>1240</v>
      </c>
      <c r="E68" s="4">
        <v>1</v>
      </c>
      <c r="F68" s="4" t="s">
        <v>1075</v>
      </c>
    </row>
    <row r="69" ht="75" spans="1:6">
      <c r="A69" s="3" t="s">
        <v>1241</v>
      </c>
      <c r="B69" t="str">
        <f>_xlfn.DISPIMG("ID_6557E7B314F44A87A226F22E40CCB258",1)</f>
        <v>=DISPIMG("ID_6557E7B314F44A87A226F22E40CCB258",1)</v>
      </c>
      <c r="C69" s="3" t="s">
        <v>1242</v>
      </c>
      <c r="D69" s="3" t="s">
        <v>1243</v>
      </c>
      <c r="E69" s="4">
        <v>0.5</v>
      </c>
      <c r="F69" s="4" t="s">
        <v>1075</v>
      </c>
    </row>
    <row r="70" ht="75" spans="1:6">
      <c r="A70" s="3" t="s">
        <v>1244</v>
      </c>
      <c r="B70" t="str">
        <f>_xlfn.DISPIMG("ID_732C2FBC0C494EAC83E2EDD1D7FAC86B",1)</f>
        <v>=DISPIMG("ID_732C2FBC0C494EAC83E2EDD1D7FAC86B",1)</v>
      </c>
      <c r="C70" s="3" t="s">
        <v>1242</v>
      </c>
      <c r="D70" s="3" t="s">
        <v>1245</v>
      </c>
      <c r="E70" s="4">
        <v>0.5</v>
      </c>
      <c r="F70" s="4" t="s">
        <v>1075</v>
      </c>
    </row>
    <row r="71" ht="75" spans="1:6">
      <c r="A71" s="3" t="s">
        <v>1246</v>
      </c>
      <c r="B71" t="str">
        <f>_xlfn.DISPIMG("ID_803DD1DB13B4424E882F54DFA39BCC66",1)</f>
        <v>=DISPIMG("ID_803DD1DB13B4424E882F54DFA39BCC66",1)</v>
      </c>
      <c r="C71" s="3" t="s">
        <v>1242</v>
      </c>
      <c r="D71" s="3" t="s">
        <v>1247</v>
      </c>
      <c r="E71" s="4">
        <v>0.5</v>
      </c>
      <c r="F71" s="4" t="s">
        <v>1075</v>
      </c>
    </row>
    <row r="72" ht="75" spans="1:6">
      <c r="A72" s="3" t="s">
        <v>1248</v>
      </c>
      <c r="B72" t="str">
        <f>_xlfn.DISPIMG("ID_7D2F903A252D47369338FFBA045D8F23",1)</f>
        <v>=DISPIMG("ID_7D2F903A252D47369338FFBA045D8F23",1)</v>
      </c>
      <c r="C72" s="3" t="s">
        <v>1249</v>
      </c>
      <c r="D72" s="3" t="s">
        <v>1250</v>
      </c>
      <c r="E72" s="4">
        <v>0.7</v>
      </c>
      <c r="F72" s="4" t="s">
        <v>1075</v>
      </c>
    </row>
    <row r="73" ht="75" spans="1:6">
      <c r="A73" s="3" t="s">
        <v>1251</v>
      </c>
      <c r="B73" t="str">
        <f>_xlfn.DISPIMG("ID_88851E32501F454A927312CBF07028C4",1)</f>
        <v>=DISPIMG("ID_88851E32501F454A927312CBF07028C4",1)</v>
      </c>
      <c r="C73" s="3" t="s">
        <v>1249</v>
      </c>
      <c r="D73" s="3" t="s">
        <v>1252</v>
      </c>
      <c r="E73" s="4">
        <v>0.7</v>
      </c>
      <c r="F73" s="4" t="s">
        <v>1075</v>
      </c>
    </row>
    <row r="74" ht="75" spans="1:6">
      <c r="A74" s="3" t="s">
        <v>1253</v>
      </c>
      <c r="B74" t="str">
        <f>_xlfn.DISPIMG("ID_3D6493BC3C5546FAB6DEB7E2B2BBDFC8",1)</f>
        <v>=DISPIMG("ID_3D6493BC3C5546FAB6DEB7E2B2BBDFC8",1)</v>
      </c>
      <c r="C74" s="3" t="s">
        <v>1249</v>
      </c>
      <c r="D74" s="3" t="s">
        <v>1254</v>
      </c>
      <c r="E74" s="4">
        <v>0.7</v>
      </c>
      <c r="F74" s="4" t="s">
        <v>1075</v>
      </c>
    </row>
    <row r="75" ht="75" spans="1:6">
      <c r="A75" s="3" t="s">
        <v>1255</v>
      </c>
      <c r="B75" t="str">
        <f>_xlfn.DISPIMG("ID_BC29A6617D8B4FED87A78311CED5A120",1)</f>
        <v>=DISPIMG("ID_BC29A6617D8B4FED87A78311CED5A120",1)</v>
      </c>
      <c r="C75" s="3" t="s">
        <v>1256</v>
      </c>
      <c r="D75" s="3" t="s">
        <v>1257</v>
      </c>
      <c r="E75" s="4">
        <v>0.6</v>
      </c>
      <c r="F75" s="4" t="s">
        <v>1075</v>
      </c>
    </row>
    <row r="76" ht="75" spans="1:6">
      <c r="A76" s="3" t="s">
        <v>1258</v>
      </c>
      <c r="B76" t="str">
        <f>_xlfn.DISPIMG("ID_1F8FBF762C9C4642ADABE3F8CDE7F02F",1)</f>
        <v>=DISPIMG("ID_1F8FBF762C9C4642ADABE3F8CDE7F02F",1)</v>
      </c>
      <c r="C76" s="3" t="s">
        <v>1259</v>
      </c>
      <c r="D76" s="3" t="s">
        <v>1260</v>
      </c>
      <c r="E76" s="4">
        <v>0.5</v>
      </c>
      <c r="F76" s="4" t="s">
        <v>1075</v>
      </c>
    </row>
    <row r="77" ht="75" spans="1:6">
      <c r="A77" s="3" t="s">
        <v>1261</v>
      </c>
      <c r="B77" t="str">
        <f>_xlfn.DISPIMG("ID_D8ADD0C2F762467580731FF36EEB97E4",1)</f>
        <v>=DISPIMG("ID_D8ADD0C2F762467580731FF36EEB97E4",1)</v>
      </c>
      <c r="C77" s="3" t="s">
        <v>1262</v>
      </c>
      <c r="D77" s="3" t="s">
        <v>1263</v>
      </c>
      <c r="E77" s="4">
        <v>0.5</v>
      </c>
      <c r="F77" s="4" t="s">
        <v>1075</v>
      </c>
    </row>
    <row r="78" ht="75" spans="1:6">
      <c r="A78" s="3" t="s">
        <v>1264</v>
      </c>
      <c r="B78" t="str">
        <f>_xlfn.DISPIMG("ID_93784DBE233D4576906E2ADD0C83FA3D",1)</f>
        <v>=DISPIMG("ID_93784DBE233D4576906E2ADD0C83FA3D",1)</v>
      </c>
      <c r="C78" s="3" t="s">
        <v>1262</v>
      </c>
      <c r="D78" s="3" t="s">
        <v>1265</v>
      </c>
      <c r="E78" s="4">
        <v>0.5</v>
      </c>
      <c r="F78" s="4" t="s">
        <v>1075</v>
      </c>
    </row>
    <row r="79" ht="75" spans="1:6">
      <c r="A79" s="3" t="s">
        <v>1266</v>
      </c>
      <c r="B79" t="str">
        <f>_xlfn.DISPIMG("ID_31CBA184DEB4442C938D4384F4C75692",1)</f>
        <v>=DISPIMG("ID_31CBA184DEB4442C938D4384F4C75692",1)</v>
      </c>
      <c r="C79" s="3" t="s">
        <v>1262</v>
      </c>
      <c r="D79" s="3" t="s">
        <v>1267</v>
      </c>
      <c r="E79" s="4">
        <v>0.5</v>
      </c>
      <c r="F79" s="4" t="s">
        <v>1075</v>
      </c>
    </row>
    <row r="80" ht="75" spans="1:6">
      <c r="A80" s="3" t="s">
        <v>1268</v>
      </c>
      <c r="B80" t="str">
        <f>_xlfn.DISPIMG("ID_4169D5050B604C5F964B7A8332BBA333",1)</f>
        <v>=DISPIMG("ID_4169D5050B604C5F964B7A8332BBA333",1)</v>
      </c>
      <c r="C80" s="3" t="s">
        <v>1262</v>
      </c>
      <c r="D80" s="3" t="s">
        <v>1269</v>
      </c>
      <c r="E80" s="4">
        <v>0.5</v>
      </c>
      <c r="F80" s="4" t="s">
        <v>1100</v>
      </c>
    </row>
    <row r="81" ht="75" spans="1:6">
      <c r="A81" s="3" t="s">
        <v>1270</v>
      </c>
      <c r="B81" t="str">
        <f>_xlfn.DISPIMG("ID_EE436049780348F1B08006847FE3772E",1)</f>
        <v>=DISPIMG("ID_EE436049780348F1B08006847FE3772E",1)</v>
      </c>
      <c r="C81" s="3" t="s">
        <v>1271</v>
      </c>
      <c r="D81" s="5"/>
      <c r="E81" s="4">
        <v>0.7</v>
      </c>
      <c r="F81" s="4" t="s">
        <v>1075</v>
      </c>
    </row>
    <row r="82" ht="75" spans="1:6">
      <c r="A82" s="3" t="s">
        <v>1272</v>
      </c>
      <c r="B82" t="str">
        <f>_xlfn.DISPIMG("ID_9B8BC37DB9FF4748961727310B2540A5",1)</f>
        <v>=DISPIMG("ID_9B8BC37DB9FF4748961727310B2540A5",1)</v>
      </c>
      <c r="C82" s="3" t="s">
        <v>1273</v>
      </c>
      <c r="D82" s="3" t="s">
        <v>1274</v>
      </c>
      <c r="E82" s="4">
        <v>1.1</v>
      </c>
      <c r="F82" s="4" t="s">
        <v>1075</v>
      </c>
    </row>
    <row r="83" ht="75" spans="1:6">
      <c r="A83" s="3" t="s">
        <v>1275</v>
      </c>
      <c r="B83" t="str">
        <f>_xlfn.DISPIMG("ID_629987CD5BC44FBDB615FA9570C67BBC",1)</f>
        <v>=DISPIMG("ID_629987CD5BC44FBDB615FA9570C67BBC",1)</v>
      </c>
      <c r="C83" s="3" t="s">
        <v>1276</v>
      </c>
      <c r="D83" s="3" t="s">
        <v>1277</v>
      </c>
      <c r="E83" s="4">
        <v>0.9</v>
      </c>
      <c r="F83" s="4" t="s">
        <v>1075</v>
      </c>
    </row>
    <row r="84" ht="75" spans="1:6">
      <c r="A84" s="3" t="s">
        <v>1278</v>
      </c>
      <c r="B84" t="str">
        <f>_xlfn.DISPIMG("ID_C12254D954C34071A8A25B78BF19B0D9",1)</f>
        <v>=DISPIMG("ID_C12254D954C34071A8A25B78BF19B0D9",1)</v>
      </c>
      <c r="C84" s="3" t="s">
        <v>1279</v>
      </c>
      <c r="D84" s="3" t="s">
        <v>1280</v>
      </c>
      <c r="E84" s="4">
        <v>1</v>
      </c>
      <c r="F84" s="4" t="s">
        <v>1075</v>
      </c>
    </row>
    <row r="85" ht="75" spans="1:6">
      <c r="A85" s="3" t="s">
        <v>1281</v>
      </c>
      <c r="B85" t="str">
        <f>_xlfn.DISPIMG("ID_851DC1025BF24525B6FCA282B1B23992",1)</f>
        <v>=DISPIMG("ID_851DC1025BF24525B6FCA282B1B23992",1)</v>
      </c>
      <c r="C85" s="3" t="s">
        <v>1279</v>
      </c>
      <c r="D85" s="3" t="s">
        <v>1282</v>
      </c>
      <c r="E85" s="4">
        <v>1</v>
      </c>
      <c r="F85" s="4" t="s">
        <v>1075</v>
      </c>
    </row>
    <row r="86" ht="75" spans="1:6">
      <c r="A86" s="3" t="s">
        <v>1283</v>
      </c>
      <c r="B86" t="str">
        <f>_xlfn.DISPIMG("ID_8719A33CC1AB4564AA39914CCA3203A7",1)</f>
        <v>=DISPIMG("ID_8719A33CC1AB4564AA39914CCA3203A7",1)</v>
      </c>
      <c r="C86" s="3" t="s">
        <v>1279</v>
      </c>
      <c r="D86" s="3" t="s">
        <v>1284</v>
      </c>
      <c r="E86" s="4">
        <v>1</v>
      </c>
      <c r="F86" s="4" t="s">
        <v>1075</v>
      </c>
    </row>
    <row r="87" ht="75" spans="1:6">
      <c r="A87" s="3" t="s">
        <v>1285</v>
      </c>
      <c r="B87" t="str">
        <f>_xlfn.DISPIMG("ID_1EC797A6C34447788C4DDE86E078025C",1)</f>
        <v>=DISPIMG("ID_1EC797A6C34447788C4DDE86E078025C",1)</v>
      </c>
      <c r="C87" s="3" t="s">
        <v>1279</v>
      </c>
      <c r="D87" s="3" t="s">
        <v>1286</v>
      </c>
      <c r="E87" s="4">
        <v>1</v>
      </c>
      <c r="F87" s="4" t="s">
        <v>1100</v>
      </c>
    </row>
    <row r="88" ht="75" spans="1:6">
      <c r="A88" s="3" t="s">
        <v>1287</v>
      </c>
      <c r="B88" t="str">
        <f>_xlfn.DISPIMG("ID_90B397D2DAA34CA0A05C77195DD7AB08",1)</f>
        <v>=DISPIMG("ID_90B397D2DAA34CA0A05C77195DD7AB08",1)</v>
      </c>
      <c r="C88" s="3" t="s">
        <v>1288</v>
      </c>
      <c r="D88" s="3" t="s">
        <v>1289</v>
      </c>
      <c r="E88" s="4">
        <v>0.8</v>
      </c>
      <c r="F88" s="4" t="s">
        <v>1075</v>
      </c>
    </row>
    <row r="89" ht="75" spans="1:6">
      <c r="A89" s="3" t="s">
        <v>1290</v>
      </c>
      <c r="B89" t="str">
        <f>_xlfn.DISPIMG("ID_CBEA15A16CC64E3EACA3A4F823E4498A",1)</f>
        <v>=DISPIMG("ID_CBEA15A16CC64E3EACA3A4F823E4498A",1)</v>
      </c>
      <c r="C89" s="3" t="s">
        <v>1291</v>
      </c>
      <c r="D89" s="3" t="s">
        <v>1292</v>
      </c>
      <c r="E89" s="4">
        <v>1.1</v>
      </c>
      <c r="F89" s="4" t="s">
        <v>1075</v>
      </c>
    </row>
    <row r="90" ht="75" spans="1:6">
      <c r="A90" s="3" t="s">
        <v>1293</v>
      </c>
      <c r="B90" t="str">
        <f>_xlfn.DISPIMG("ID_76C4B7C74F204A8B97B6D961A49B66E4",1)</f>
        <v>=DISPIMG("ID_76C4B7C74F204A8B97B6D961A49B66E4",1)</v>
      </c>
      <c r="C90" s="3" t="s">
        <v>1294</v>
      </c>
      <c r="D90" s="3" t="s">
        <v>1295</v>
      </c>
      <c r="E90" s="4">
        <v>0.6</v>
      </c>
      <c r="F90" s="4" t="s">
        <v>1075</v>
      </c>
    </row>
    <row r="91" ht="75" spans="1:6">
      <c r="A91" s="3" t="s">
        <v>1296</v>
      </c>
      <c r="B91" t="str">
        <f>_xlfn.DISPIMG("ID_EECBDF2153114A68B72A5A440FEAD101",1)</f>
        <v>=DISPIMG("ID_EECBDF2153114A68B72A5A440FEAD101",1)</v>
      </c>
      <c r="C91" s="3" t="s">
        <v>1297</v>
      </c>
      <c r="D91" s="3" t="s">
        <v>1298</v>
      </c>
      <c r="E91" s="4">
        <v>0.5</v>
      </c>
      <c r="F91" s="4" t="s">
        <v>1075</v>
      </c>
    </row>
    <row r="92" ht="75" spans="1:6">
      <c r="A92" s="3" t="s">
        <v>1299</v>
      </c>
      <c r="B92" t="str">
        <f>_xlfn.DISPIMG("ID_BA18B5B849F44E3E9A19184AEC64C244",1)</f>
        <v>=DISPIMG("ID_BA18B5B849F44E3E9A19184AEC64C244",1)</v>
      </c>
      <c r="C92" s="3" t="s">
        <v>1297</v>
      </c>
      <c r="D92" s="3" t="s">
        <v>1300</v>
      </c>
      <c r="E92" s="4">
        <v>0.5</v>
      </c>
      <c r="F92" s="4" t="s">
        <v>1075</v>
      </c>
    </row>
    <row r="93" ht="75" spans="1:6">
      <c r="A93" s="3" t="s">
        <v>1301</v>
      </c>
      <c r="B93" t="str">
        <f>_xlfn.DISPIMG("ID_33444E80F8394BA286BBAE0E81A9C341",1)</f>
        <v>=DISPIMG("ID_33444E80F8394BA286BBAE0E81A9C341",1)</v>
      </c>
      <c r="C93" s="3" t="s">
        <v>1297</v>
      </c>
      <c r="D93" s="3" t="s">
        <v>1302</v>
      </c>
      <c r="E93" s="4">
        <v>0.5</v>
      </c>
      <c r="F93" s="4" t="s">
        <v>1075</v>
      </c>
    </row>
    <row r="94" ht="75" spans="1:6">
      <c r="A94" s="3" t="s">
        <v>1303</v>
      </c>
      <c r="B94" t="str">
        <f>_xlfn.DISPIMG("ID_4DC5FD0045414A33949C1E48573F91AC",1)</f>
        <v>=DISPIMG("ID_4DC5FD0045414A33949C1E48573F91AC",1)</v>
      </c>
      <c r="C94" s="3" t="s">
        <v>1304</v>
      </c>
      <c r="D94" s="3" t="s">
        <v>1305</v>
      </c>
      <c r="E94" s="4">
        <v>0.9</v>
      </c>
      <c r="F94" s="4" t="s">
        <v>1075</v>
      </c>
    </row>
    <row r="95" ht="75" spans="1:6">
      <c r="A95" s="3" t="s">
        <v>1306</v>
      </c>
      <c r="B95" t="str">
        <f>_xlfn.DISPIMG("ID_E7B7999536F44107959BD11CD7483E70",1)</f>
        <v>=DISPIMG("ID_E7B7999536F44107959BD11CD7483E70",1)</v>
      </c>
      <c r="C95" s="3" t="s">
        <v>1307</v>
      </c>
      <c r="D95" s="3" t="s">
        <v>1308</v>
      </c>
      <c r="E95" s="4">
        <v>0.8</v>
      </c>
      <c r="F95" s="4" t="s">
        <v>1075</v>
      </c>
    </row>
    <row r="96" ht="75" spans="1:6">
      <c r="A96" s="3" t="s">
        <v>1309</v>
      </c>
      <c r="B96" t="str">
        <f>_xlfn.DISPIMG("ID_F0EE14E11CEA44A2B5410757BFA59C41",1)</f>
        <v>=DISPIMG("ID_F0EE14E11CEA44A2B5410757BFA59C41",1)</v>
      </c>
      <c r="C96" s="3" t="s">
        <v>1310</v>
      </c>
      <c r="D96" s="3" t="s">
        <v>1311</v>
      </c>
      <c r="E96" s="4">
        <v>0.8</v>
      </c>
      <c r="F96" s="4" t="s">
        <v>1075</v>
      </c>
    </row>
    <row r="97" ht="75" spans="1:6">
      <c r="A97" s="3" t="s">
        <v>1312</v>
      </c>
      <c r="B97" t="str">
        <f>_xlfn.DISPIMG("ID_41698024CC1942FFAAF09D3629A8BBE4",1)</f>
        <v>=DISPIMG("ID_41698024CC1942FFAAF09D3629A8BBE4",1)</v>
      </c>
      <c r="C97" s="3" t="s">
        <v>1313</v>
      </c>
      <c r="D97" s="3" t="s">
        <v>1314</v>
      </c>
      <c r="E97" s="4">
        <v>0.8</v>
      </c>
      <c r="F97" s="4" t="s">
        <v>1075</v>
      </c>
    </row>
    <row r="98" ht="75" spans="1:6">
      <c r="A98" s="3" t="s">
        <v>1315</v>
      </c>
      <c r="B98" t="str">
        <f>_xlfn.DISPIMG("ID_4A7AD3B2012E4D5B8536FE1C8DF8960A",1)</f>
        <v>=DISPIMG("ID_4A7AD3B2012E4D5B8536FE1C8DF8960A",1)</v>
      </c>
      <c r="C98" s="3" t="s">
        <v>1316</v>
      </c>
      <c r="D98" s="3" t="s">
        <v>1317</v>
      </c>
      <c r="E98" s="4">
        <v>0.8</v>
      </c>
      <c r="F98" s="4" t="s">
        <v>1075</v>
      </c>
    </row>
    <row r="99" ht="75" spans="1:6">
      <c r="A99" s="3" t="s">
        <v>1318</v>
      </c>
      <c r="B99" t="str">
        <f>_xlfn.DISPIMG("ID_FC372DD7EDBC4043AFAEB2EB1D928885",1)</f>
        <v>=DISPIMG("ID_FC372DD7EDBC4043AFAEB2EB1D928885",1)</v>
      </c>
      <c r="C99" s="3" t="s">
        <v>1319</v>
      </c>
      <c r="D99" s="3" t="s">
        <v>1320</v>
      </c>
      <c r="E99" s="4">
        <v>1.4</v>
      </c>
      <c r="F99" s="4" t="s">
        <v>1075</v>
      </c>
    </row>
    <row r="100" ht="75" spans="1:6">
      <c r="A100" s="3" t="s">
        <v>1321</v>
      </c>
      <c r="B100" t="str">
        <f>_xlfn.DISPIMG("ID_77353183EFCB45919DB2681F94E8FE03",1)</f>
        <v>=DISPIMG("ID_77353183EFCB45919DB2681F94E8FE03",1)</v>
      </c>
      <c r="C100" s="3" t="s">
        <v>1322</v>
      </c>
      <c r="D100" s="3" t="s">
        <v>1323</v>
      </c>
      <c r="E100" s="4">
        <v>1.1</v>
      </c>
      <c r="F100" s="4" t="s">
        <v>1075</v>
      </c>
    </row>
    <row r="101" ht="75" spans="1:6">
      <c r="A101" s="3" t="s">
        <v>1324</v>
      </c>
      <c r="B101" t="str">
        <f>_xlfn.DISPIMG("ID_2486DD9864D743B69B509A8843AB2F33",1)</f>
        <v>=DISPIMG("ID_2486DD9864D743B69B509A8843AB2F33",1)</v>
      </c>
      <c r="C101" s="3" t="s">
        <v>1325</v>
      </c>
      <c r="D101" s="3" t="s">
        <v>1326</v>
      </c>
      <c r="E101" s="4">
        <v>0.9</v>
      </c>
      <c r="F101" s="4" t="s">
        <v>1075</v>
      </c>
    </row>
    <row r="102" ht="75" spans="1:6">
      <c r="A102" s="3" t="s">
        <v>1327</v>
      </c>
      <c r="B102" t="str">
        <f>_xlfn.DISPIMG("ID_4A35FA6E62E64A8FAFCBF7A52C22E091",1)</f>
        <v>=DISPIMG("ID_4A35FA6E62E64A8FAFCBF7A52C22E091",1)</v>
      </c>
      <c r="C102" s="3" t="s">
        <v>1328</v>
      </c>
      <c r="D102" s="3" t="s">
        <v>1329</v>
      </c>
      <c r="E102" s="4">
        <v>0.9</v>
      </c>
      <c r="F102" s="4" t="s">
        <v>1075</v>
      </c>
    </row>
    <row r="103" ht="75" spans="1:6">
      <c r="A103" s="3" t="s">
        <v>1330</v>
      </c>
      <c r="B103" t="str">
        <f>_xlfn.DISPIMG("ID_187F64CE966C4BB298395955067C2524",1)</f>
        <v>=DISPIMG("ID_187F64CE966C4BB298395955067C2524",1)</v>
      </c>
      <c r="C103" s="3" t="s">
        <v>1331</v>
      </c>
      <c r="D103" s="3" t="s">
        <v>1332</v>
      </c>
      <c r="E103" s="4">
        <v>0.8</v>
      </c>
      <c r="F103" s="4" t="s">
        <v>1075</v>
      </c>
    </row>
    <row r="104" ht="75" spans="1:6">
      <c r="A104" s="3" t="s">
        <v>1333</v>
      </c>
      <c r="B104" t="str">
        <f>_xlfn.DISPIMG("ID_4D770FF08CDF47BAA9F96658822C3B1E",1)</f>
        <v>=DISPIMG("ID_4D770FF08CDF47BAA9F96658822C3B1E",1)</v>
      </c>
      <c r="C104" s="3" t="s">
        <v>1334</v>
      </c>
      <c r="D104" s="3" t="s">
        <v>1335</v>
      </c>
      <c r="E104" s="4">
        <v>0.8</v>
      </c>
      <c r="F104" s="4" t="s">
        <v>1075</v>
      </c>
    </row>
    <row r="105" ht="75" spans="1:6">
      <c r="A105" s="3" t="s">
        <v>1336</v>
      </c>
      <c r="B105" t="str">
        <f>_xlfn.DISPIMG("ID_5AF74664694E4A3BB3AF3EDFBF0C910D",1)</f>
        <v>=DISPIMG("ID_5AF74664694E4A3BB3AF3EDFBF0C910D",1)</v>
      </c>
      <c r="C105" s="3" t="s">
        <v>1337</v>
      </c>
      <c r="D105" s="3" t="s">
        <v>1338</v>
      </c>
      <c r="E105" s="4">
        <v>1.4</v>
      </c>
      <c r="F105" s="4" t="s">
        <v>1075</v>
      </c>
    </row>
    <row r="106" ht="75" spans="1:6">
      <c r="A106" s="3" t="s">
        <v>1339</v>
      </c>
      <c r="B106" t="str">
        <f>_xlfn.DISPIMG("ID_6CB619A502D74A92B5DCB0739DD65B59",1)</f>
        <v>=DISPIMG("ID_6CB619A502D74A92B5DCB0739DD65B59",1)</v>
      </c>
      <c r="C106" s="3" t="s">
        <v>1340</v>
      </c>
      <c r="D106" s="3" t="s">
        <v>1341</v>
      </c>
      <c r="E106" s="4">
        <v>0.9</v>
      </c>
      <c r="F106" s="4" t="s">
        <v>1075</v>
      </c>
    </row>
    <row r="107" ht="75" spans="1:6">
      <c r="A107" s="3" t="s">
        <v>1342</v>
      </c>
      <c r="B107" t="str">
        <f>_xlfn.DISPIMG("ID_ABC7E6ED9C60420CAEDE5390ECD6DF43",1)</f>
        <v>=DISPIMG("ID_ABC7E6ED9C60420CAEDE5390ECD6DF43",1)</v>
      </c>
      <c r="C107" s="3" t="s">
        <v>1343</v>
      </c>
      <c r="D107" s="3" t="s">
        <v>1344</v>
      </c>
      <c r="E107" s="4">
        <v>0.8</v>
      </c>
      <c r="F107" s="4" t="s">
        <v>1075</v>
      </c>
    </row>
    <row r="108" ht="75" spans="1:6">
      <c r="A108" s="3" t="s">
        <v>1345</v>
      </c>
      <c r="B108" t="str">
        <f>_xlfn.DISPIMG("ID_8E912411C43441FDBEC9E2AC07C6FBE0",1)</f>
        <v>=DISPIMG("ID_8E912411C43441FDBEC9E2AC07C6FBE0",1)</v>
      </c>
      <c r="C108" s="3" t="s">
        <v>1346</v>
      </c>
      <c r="D108" s="3" t="s">
        <v>1347</v>
      </c>
      <c r="E108" s="4">
        <v>0.8</v>
      </c>
      <c r="F108" s="4" t="s">
        <v>1075</v>
      </c>
    </row>
    <row r="109" ht="75" spans="1:6">
      <c r="A109" s="3" t="s">
        <v>1348</v>
      </c>
      <c r="B109" t="str">
        <f>_xlfn.DISPIMG("ID_799C3057F2FF4117AAC07C4D46F8B179",1)</f>
        <v>=DISPIMG("ID_799C3057F2FF4117AAC07C4D46F8B179",1)</v>
      </c>
      <c r="C109" s="3" t="s">
        <v>1349</v>
      </c>
      <c r="D109" s="5"/>
      <c r="E109" s="4">
        <v>0.6</v>
      </c>
      <c r="F109" s="4" t="s">
        <v>1075</v>
      </c>
    </row>
    <row r="110" ht="75" spans="1:6">
      <c r="A110" s="3" t="s">
        <v>1350</v>
      </c>
      <c r="B110" t="str">
        <f>_xlfn.DISPIMG("ID_C078EB98BCE749239906BA408A04ED1B",1)</f>
        <v>=DISPIMG("ID_C078EB98BCE749239906BA408A04ED1B",1)</v>
      </c>
      <c r="C110" s="3" t="s">
        <v>1351</v>
      </c>
      <c r="D110" s="5"/>
      <c r="E110" s="4">
        <v>0.7</v>
      </c>
      <c r="F110" s="4" t="s">
        <v>1075</v>
      </c>
    </row>
    <row r="111" ht="75" spans="1:6">
      <c r="A111" s="3" t="s">
        <v>1352</v>
      </c>
      <c r="B111" t="str">
        <f>_xlfn.DISPIMG("ID_5F04037C72154C89A6D131856817810B",1)</f>
        <v>=DISPIMG("ID_5F04037C72154C89A6D131856817810B",1)</v>
      </c>
      <c r="C111" s="3" t="s">
        <v>1353</v>
      </c>
      <c r="D111" s="5"/>
      <c r="E111" s="4">
        <v>0.9</v>
      </c>
      <c r="F111" s="4" t="s">
        <v>1075</v>
      </c>
    </row>
    <row r="112" ht="75" spans="1:6">
      <c r="A112" s="3" t="s">
        <v>1354</v>
      </c>
      <c r="B112" t="str">
        <f>_xlfn.DISPIMG("ID_E109C53578B04611BF4EA837300A6C47",1)</f>
        <v>=DISPIMG("ID_E109C53578B04611BF4EA837300A6C47",1)</v>
      </c>
      <c r="C112" s="3" t="s">
        <v>1355</v>
      </c>
      <c r="D112" s="5"/>
      <c r="E112" s="4">
        <v>0.7</v>
      </c>
      <c r="F112" s="4" t="s">
        <v>1075</v>
      </c>
    </row>
    <row r="113" ht="75" spans="1:6">
      <c r="A113" s="3" t="s">
        <v>1356</v>
      </c>
      <c r="B113" t="str">
        <f>_xlfn.DISPIMG("ID_82496B5267F844A2B74A36FDE829C722",1)</f>
        <v>=DISPIMG("ID_82496B5267F844A2B74A36FDE829C722",1)</v>
      </c>
      <c r="C113" s="3" t="s">
        <v>1357</v>
      </c>
      <c r="D113" s="5"/>
      <c r="E113" s="4">
        <v>0.7</v>
      </c>
      <c r="F113" s="4" t="s">
        <v>1075</v>
      </c>
    </row>
    <row r="114" ht="75" spans="1:6">
      <c r="A114" s="3" t="s">
        <v>1358</v>
      </c>
      <c r="B114" t="str">
        <f>_xlfn.DISPIMG("ID_048D6E872BC248F1AA5FE3C62A32D783",1)</f>
        <v>=DISPIMG("ID_048D6E872BC248F1AA5FE3C62A32D783",1)</v>
      </c>
      <c r="C114" s="3" t="s">
        <v>1359</v>
      </c>
      <c r="D114" s="5"/>
      <c r="E114" s="4">
        <v>0.5</v>
      </c>
      <c r="F114" s="4" t="s">
        <v>1075</v>
      </c>
    </row>
    <row r="115" ht="75" spans="1:6">
      <c r="A115" s="3" t="s">
        <v>1360</v>
      </c>
      <c r="B115" t="str">
        <f>_xlfn.DISPIMG("ID_8EB8567E8FF44988A6D9AC59FD961CAB",1)</f>
        <v>=DISPIMG("ID_8EB8567E8FF44988A6D9AC59FD961CAB",1)</v>
      </c>
      <c r="C115" s="3" t="s">
        <v>1361</v>
      </c>
      <c r="D115" s="5"/>
      <c r="E115" s="4">
        <v>0.6</v>
      </c>
      <c r="F115" s="4" t="s">
        <v>1075</v>
      </c>
    </row>
    <row r="116" ht="75" spans="1:6">
      <c r="A116" s="3" t="s">
        <v>1362</v>
      </c>
      <c r="B116" t="str">
        <f>_xlfn.DISPIMG("ID_7C35D2225D16483695BEC0AF71187929",1)</f>
        <v>=DISPIMG("ID_7C35D2225D16483695BEC0AF71187929",1)</v>
      </c>
      <c r="C116" s="3" t="s">
        <v>1363</v>
      </c>
      <c r="D116" s="5"/>
      <c r="E116" s="4">
        <v>0.8</v>
      </c>
      <c r="F116" s="4" t="s">
        <v>1075</v>
      </c>
    </row>
    <row r="117" ht="75" spans="1:6">
      <c r="A117" s="3" t="s">
        <v>1364</v>
      </c>
      <c r="B117" t="str">
        <f>_xlfn.DISPIMG("ID_31F1AD3945A34836A6E746A809B0067D",1)</f>
        <v>=DISPIMG("ID_31F1AD3945A34836A6E746A809B0067D",1)</v>
      </c>
      <c r="C117" s="3" t="s">
        <v>1365</v>
      </c>
      <c r="D117" s="5"/>
      <c r="E117" s="4">
        <v>1</v>
      </c>
      <c r="F117" s="4" t="s">
        <v>1075</v>
      </c>
    </row>
    <row r="118" ht="75" spans="1:6">
      <c r="A118" s="3" t="s">
        <v>1366</v>
      </c>
      <c r="B118" t="str">
        <f>_xlfn.DISPIMG("ID_BD4072BB5CC34E25A65BCE11BEDD9318",1)</f>
        <v>=DISPIMG("ID_BD4072BB5CC34E25A65BCE11BEDD9318",1)</v>
      </c>
      <c r="C118" s="3" t="s">
        <v>1367</v>
      </c>
      <c r="D118" s="5"/>
      <c r="E118" s="6"/>
      <c r="F118" s="4" t="s">
        <v>1148</v>
      </c>
    </row>
    <row r="119" ht="75" spans="1:6">
      <c r="A119" s="3" t="s">
        <v>1368</v>
      </c>
      <c r="B119" t="str">
        <f>_xlfn.DISPIMG("ID_86118FA6D475444CA3C4EB88EC6362EC",1)</f>
        <v>=DISPIMG("ID_86118FA6D475444CA3C4EB88EC6362EC",1)</v>
      </c>
      <c r="C119" s="3" t="s">
        <v>1369</v>
      </c>
      <c r="D119" s="5"/>
      <c r="E119" s="6"/>
      <c r="F119" s="4" t="s">
        <v>1148</v>
      </c>
    </row>
  </sheetData>
  <hyperlinks>
    <hyperlink ref="A2" r:id="rId1" display="生命戒指" tooltip="/dark_souls_3/baike3671?wid=102"/>
    <hyperlink ref="A3" r:id="rId2" display="生命戒指+1" tooltip="/dark_souls_3/baike3672?wid=102"/>
    <hyperlink ref="A4" r:id="rId3" display="生命戒指+2" tooltip="/dark_souls_3/baike3673?wid=102"/>
    <hyperlink ref="A5" r:id="rId4" display="生命戒指+3" tooltip="/dark_souls_3/baike3674?wid=102"/>
    <hyperlink ref="A6" r:id="rId5" display="太阳公主戒指" tooltip="/dark_souls_3/baike3753?wid=102"/>
    <hyperlink ref="A7" r:id="rId6" display="原素戒指" tooltip="/dark_souls_3/baike3780?wid=102"/>
    <hyperlink ref="A8" r:id="rId7" display="原素灰戒指" tooltip="/dark_souls_3/baike3781?wid=102"/>
    <hyperlink ref="A9" r:id="rId8" display="绿花戒指" tooltip="/dark_souls_3/baike3675?wid=102"/>
    <hyperlink ref="A10" r:id="rId9" display="绿花戒指+1" tooltip="/dark_souls_3/baike3676?wid=102"/>
    <hyperlink ref="A11" r:id="rId10" display="绿花戒指+2" tooltip="/dark_souls_3/baike3677?wid=102"/>
    <hyperlink ref="A12" r:id="rId11" display="绿花戒指+3" tooltip="/dark_souls_3/baike3678?wid=102"/>
    <hyperlink ref="A13" r:id="rId12" display="哈维尔戒指" tooltip="/dark_souls_3/baike3679?wid=102"/>
    <hyperlink ref="A14" r:id="rId13" display="哈维尔戒指+1" tooltip="/dark_souls_3/baike3680?wid=102"/>
    <hyperlink ref="A15" r:id="rId14" display="哈维尔戒指+2" tooltip="/dark_souls_3/baike3681?wid=102"/>
    <hyperlink ref="A16" r:id="rId15" display="哈维尔戒指+3" tooltip="/dark_souls_3/baike3682?wid=102"/>
    <hyperlink ref="A17" r:id="rId16" display="宠爱戒指" tooltip="/dark_souls_3/baike3683?wid=102"/>
    <hyperlink ref="A18" r:id="rId17" display="宠爱戒指+1" tooltip="/dark_souls_3/baike3684?wid=102"/>
    <hyperlink ref="A19" r:id="rId18" display="宠爱戒指+2" tooltip="/dark_souls_3/baike3685?wid=102"/>
    <hyperlink ref="A20" r:id="rId19" display="宠爱戒指+3" tooltip="/dark_souls_3/baike3686?wid=102"/>
    <hyperlink ref="A21" r:id="rId20" display="俘虏锁链" tooltip="/dark_souls_3/baike3766?wid=102"/>
    <hyperlink ref="A22" r:id="rId21" display="钢铁庇佑戒指" tooltip="/dark_souls_3/baike3687?wid=102"/>
    <hyperlink ref="A23" r:id="rId22" display="钢铁庇佑戒指+1" tooltip="/dark_souls_3/baike3688?wid=102"/>
    <hyperlink ref="A24" r:id="rId23" display="钢铁庇佑戒指+2" tooltip="/dark_souls_3/baike3689?wid=102"/>
    <hyperlink ref="A25" r:id="rId24" display="钢铁庇佑戒指+3" tooltip="/dark_souls_3/baike3690?wid=102"/>
    <hyperlink ref="A26" r:id="rId25" display="魔力方石戒指" tooltip="/dark_souls_3/baike3697?wid=102"/>
    <hyperlink ref="A27" r:id="rId26" display="魔力方石戒指+1" tooltip="/dark_souls_3/baike3698?wid=102"/>
    <hyperlink ref="A28" r:id="rId27" display="魔力方石戒指+2" tooltip="/dark_souls_3/baike3699?wid=102"/>
    <hyperlink ref="A29" r:id="rId28" display="火方石戒指" tooltip="/dark_souls_3/baike3691?wid=102"/>
    <hyperlink ref="A30" r:id="rId29" display="火方石戒指+1" tooltip="/dark_souls_3/baike3692?wid=102"/>
    <hyperlink ref="A31" r:id="rId30" display="火方石戒指+2" tooltip="/dark_souls_3/baike3693?wid=102"/>
    <hyperlink ref="A32" r:id="rId31" display="雷方石戒指" tooltip="/dark_souls_3/baike3694?wid=102"/>
    <hyperlink ref="A33" r:id="rId32" display="雷方石戒指+1" tooltip="/dark_souls_3/baike3695?wid=102"/>
    <hyperlink ref="A34" r:id="rId33" display="雷方石戒指+2" tooltip="/dark_souls_3/baike3696?wid=102"/>
    <hyperlink ref="A35" r:id="rId34" display="暗方石戒指" tooltip="/dark_souls_3/baike3700?wid=102"/>
    <hyperlink ref="A36" r:id="rId35" display="暗方石戒指+1" tooltip="/dark_souls_3/baike3701?wid=102"/>
    <hyperlink ref="A37" r:id="rId36" display="暗方石戒指+2" tooltip="/dark_souls_3/baike3702?wid=102"/>
    <hyperlink ref="A38" r:id="rId37" display="斑方石戒指" tooltip="/dark_souls_3/baike3703?wid=102"/>
    <hyperlink ref="A39" r:id="rId38" display="斑方石戒指+1" tooltip="/dark_souls_3/baike3704?wid=102"/>
    <hyperlink ref="A40" r:id="rId39" display="咬血戒指" tooltip="/dark_souls_3/baike3705?wid=102"/>
    <hyperlink ref="A41" r:id="rId40" display="咬血戒指+1" tooltip="/dark_souls_3/baike3706?wid=102"/>
    <hyperlink ref="A42" r:id="rId41" display="咬毒戒指" tooltip="/dark_souls_3/baike3707?wid=102"/>
    <hyperlink ref="A43" r:id="rId42" display="咬毒戒指+1" tooltip="/dark_souls_3/baike3708?wid=102"/>
    <hyperlink ref="A44" r:id="rId43" display="咬霜戒指" tooltip="/dark_souls_3/baike3788?wid=102"/>
    <hyperlink ref="A45" r:id="rId44" display="咬咒戒指" tooltip="/dark_souls_3/baike3709?wid=102"/>
    <hyperlink ref="A46" r:id="rId45" display="咬人戒指" tooltip="/dark_souls_3/baike3710?wid=102"/>
    <hyperlink ref="A47" r:id="rId46" display="咬人戒指+1" tooltip="/dark_souls_3/baike3711?wid=102"/>
    <hyperlink ref="A48" r:id="rId47" display="骑士戒指" tooltip="/dark_souls_3/baike3758?wid=102"/>
    <hyperlink ref="A49" r:id="rId48" display="猎人戒指" tooltip="/dark_souls_3/baike3759?wid=102"/>
    <hyperlink ref="A50" r:id="rId49" display="贤者戒指" tooltip="/dark_souls_3/baike3715?wid=102"/>
    <hyperlink ref="A51" r:id="rId50" display="主祭戒指" tooltip="/dark_souls_3/baike3716?wid=102"/>
    <hyperlink ref="A52" r:id="rId51" display="贪婪金蛇戒指" tooltip="/dark_souls_3/baike3745?wid=102"/>
    <hyperlink ref="A53" r:id="rId52" display="贪婪金蛇戒指+1" tooltip="/dark_souls_3/baike3746?wid=102"/>
    <hyperlink ref="A54" r:id="rId53" display="贪婪金蛇戒指+2" tooltip="/dark_souls_3/baike3747?wid=102"/>
    <hyperlink ref="A55" r:id="rId54" display="贪婪金蛇戒指+3" tooltip="/dark_souls_3/baike3748?wid=102"/>
    <hyperlink ref="A56" r:id="rId55" display="贪婪银蛇戒指" tooltip="/dark_souls_3/baike3749?wid=102"/>
    <hyperlink ref="A57" r:id="rId56" display="贪婪银蛇戒指+1" tooltip="/dark_souls_3/baike3750?wid=102"/>
    <hyperlink ref="A58" r:id="rId57" display="贪婪银蛇戒指+2" tooltip="/dark_souls_3/baike3751?wid=102"/>
    <hyperlink ref="A59" r:id="rId58" display="贪婪银蛇戒指+3" tooltip="/dark_souls_3/baike3752?wid=102"/>
    <hyperlink ref="A60" r:id="rId59" display="圣女戒指" tooltip="/dark_souls_3/baike3740?wid=102"/>
    <hyperlink ref="A61" r:id="rId60" display="幽邃戒指" tooltip="/dark_souls_3/baike3741?wid=102"/>
    <hyperlink ref="A62" r:id="rId61" display="暗月戒指" tooltip="/dark_souls_3/baike3742?wid=102"/>
    <hyperlink ref="A63" r:id="rId62" display="稚嫩龙徽戒指" tooltip="/dark_souls_3/baike3726?wid=102"/>
    <hyperlink ref="A64" r:id="rId63" display="狂吼龙徽戒指" tooltip="/dark_souls_3/baike3727?wid=102"/>
    <hyperlink ref="A65" r:id="rId64" display="大沼戒指" tooltip="/dark_souls_3/baike3728?wid=102"/>
    <hyperlink ref="A66" r:id="rId65" display="魔女们的戒指" tooltip="/dark_souls_3/baike3729?wid=102"/>
    <hyperlink ref="A67" r:id="rId66" display="摩恩戒指" tooltip="/dark_souls_3/baike3730?wid=102"/>
    <hyperlink ref="A68" r:id="rId67" display="太阳长男戒指" tooltip="/dark_souls_3/baike3731?wid=102"/>
    <hyperlink ref="A69" r:id="rId68" display="伫立龙徽戒指" tooltip="/dark_souls_3/baike3732?wid=102"/>
    <hyperlink ref="A70" r:id="rId69" display="伫立龙徽戒指+1" tooltip="/dark_souls_3/baike3733?wid=102"/>
    <hyperlink ref="A71" r:id="rId70" display="伫立龙徽戒指+2" tooltip="/dark_souls_3/baike3734?wid=102"/>
    <hyperlink ref="A72" r:id="rId71" display="老者戒指" tooltip="/dark_souls_3/baike3735?wid=102"/>
    <hyperlink ref="A73" r:id="rId72" display="老者戒指+1" tooltip="/dark_souls_3/baike3736?wid=102"/>
    <hyperlink ref="A74" r:id="rId73" display="老者戒指+2" tooltip="/dark_souls_3/baike3737?wid=102"/>
    <hyperlink ref="A75" r:id="rId74" display="幽暗宝冠戒指" tooltip="/dark_souls_3/baike3739?wid=102"/>
    <hyperlink ref="A76" r:id="rId75" display="狮子戒指" tooltip="/dark_souls_3/baike3723?wid=102"/>
    <hyperlink ref="A77" r:id="rId76" display="狼戒指" tooltip="/dark_souls_3/baike3719?wid=102"/>
    <hyperlink ref="A78" r:id="rId77" display="狼戒指+1" tooltip="/dark_souls_3/baike3720?wid=102"/>
    <hyperlink ref="A79" r:id="rId78" display="狼戒指+2" tooltip="/dark_souls_3/baike3721?wid=102"/>
    <hyperlink ref="A80" r:id="rId79" display="狼戒指+3" tooltip="/dark_souls_3/baike3722?wid=102"/>
    <hyperlink ref="A81" r:id="rId80" display="老鹰戒指" tooltip="/dark_souls_3/baike3743?wid=102"/>
    <hyperlink ref="A82" r:id="rId81" display="黄蜂戒指" tooltip="/dark_souls_3/baike3744?wid=102"/>
    <hyperlink ref="A83" r:id="rId82" display="猎杀骑士戒指" tooltip="/dark_souls_3/baike3760?wid=102"/>
    <hyperlink ref="A84" r:id="rId83" display="邪眼戒指" tooltip="/dark_souls_3/baike3770?wid=102"/>
    <hyperlink ref="A85" r:id="rId84" display="邪眼戒指+1" tooltip="/dark_souls_3/baike3771?wid=102"/>
    <hyperlink ref="A86" r:id="rId85" display="邪眼戒指+2" tooltip="/dark_souls_3/baike3772?wid=102"/>
    <hyperlink ref="A87" r:id="rId86" display="邪眼戒指+3" tooltip="/dark_souls_3/baike3773?wid=102"/>
    <hyperlink ref="A88" r:id="rId87" display="法兰戒指" tooltip="/dark_souls_3/baike3775?wid=102"/>
    <hyperlink ref="A89" r:id="rId88" display="龙鳞戒指" tooltip="/dark_souls_3/baike3787?wid=102"/>
    <hyperlink ref="A90" r:id="rId89" display="马腿戒指" tooltip="/dark_souls_3/baike3782?wid=102"/>
    <hyperlink ref="A91" r:id="rId90" display="木纹戒指" tooltip="/dark_souls_3/baike3712?wid=102"/>
    <hyperlink ref="A92" r:id="rId91" display="木纹戒指+1" tooltip="/dark_souls_3/baike3713?wid=102"/>
    <hyperlink ref="A93" r:id="rId92" display="木纹戒指+2" tooltip="/dark_souls_3/baike3714?wid=102"/>
    <hyperlink ref="A94" r:id="rId93" display="弗林戒指" tooltip="/dark_souls_3/baike3765?wid=102"/>
    <hyperlink ref="A95" r:id="rId94" display="魔力怪手戒指" tooltip="/dark_souls_3/baike3761?wid=102"/>
    <hyperlink ref="A96" r:id="rId95" display="雷电怪手戒指" tooltip="/dark_souls_3/baike3762?wid=102"/>
    <hyperlink ref="A97" r:id="rId96" display="火焰怪手戒指" tooltip="/dark_souls_3/baike3763?wid=102"/>
    <hyperlink ref="A98" r:id="rId97" display="暗怪手戒指" tooltip="/dark_souls_3/baike3764?wid=102"/>
    <hyperlink ref="A99" r:id="rId98" display="红泪石戒指" tooltip="/dark_souls_3/baike3717?wid=102"/>
    <hyperlink ref="A100" r:id="rId99" display="蓝泪石戒指" tooltip="/dark_souls_3/baike3718?wid=102"/>
    <hyperlink ref="A101" r:id="rId100" display="洛伊德剑徽戒指" tooltip="/dark_souls_3/baike3778?wid=102"/>
    <hyperlink ref="A102" r:id="rId101" display="洛伊德盾徽戒指" tooltip="/dark_souls_3/baike3779?wid=102"/>
    <hyperlink ref="A103" r:id="rId102" display="卡萨斯乳白戒指" tooltip="/dark_souls_3/baike3757?wid=102"/>
    <hyperlink ref="A104" r:id="rId103" display="卡萨斯血环" tooltip="/dark_souls_3/baike3783?wid=102"/>
    <hyperlink ref="A105" r:id="rId104" display="教宗右眼" tooltip="/dark_souls_3/baike3785?wid=102"/>
    <hyperlink ref="A106" r:id="rId105" display="教宗左眼" tooltip="/dark_souls_3/baike3786?wid=102"/>
    <hyperlink ref="A107" r:id="rId106" display="艾尔德利奇红石" tooltip="/dark_souls_3/baike3776?wid=102"/>
    <hyperlink ref="A108" r:id="rId107" display="艾尔德利奇蓝石" tooltip="/dark_souls_3/baike3777?wid=102"/>
    <hyperlink ref="A109" r:id="rId108" display="银猫戒指" tooltip="/dark_souls_3/baike3754?wid=102"/>
    <hyperlink ref="A110" r:id="rId109" display="沉眠龙徽戒指" tooltip="/dark_souls_3/baike3738?wid=102"/>
    <hyperlink ref="A111" r:id="rId110" display="幻肢戒指" tooltip="/dark_souls_3/baike3769?wid=102"/>
    <hyperlink ref="A112" r:id="rId111" display="暗色伪装戒指" tooltip="/dark_souls_3/baike3767?wid=102"/>
    <hyperlink ref="A113" r:id="rId112" display="白色伪装戒指" tooltip="/dark_souls_3/baike3756?wid=102"/>
    <hyperlink ref="A114" r:id="rId113" display="化生戒指" tooltip="/dark_souls_3/baike3784?wid=102"/>
    <hyperlink ref="A115" r:id="rId114" display="头盖骨戒指" tooltip="/dark_souls_3/baike3755?wid=102"/>
    <hyperlink ref="A116" r:id="rId115" display="灾难戒指" tooltip="/dark_souls_3/baike3774?wid=102"/>
    <hyperlink ref="A117" r:id="rId116" display="牺牲戒指" tooltip="/dark_souls_3/baike3724?wid=102"/>
    <hyperlink ref="A118" r:id="rId117" display="宝贵牺牲戒指（删减内容）" tooltip="/dark_souls_3/baike3725?wid=102"/>
    <hyperlink ref="A119" r:id="rId118" display="约亚戒指（删减内容）" tooltip="/dark_souls_3/baike3768?wid=102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触媒</vt:lpstr>
      <vt:lpstr>箭</vt:lpstr>
      <vt:lpstr>远程</vt:lpstr>
      <vt:lpstr>近战</vt:lpstr>
      <vt:lpstr>盾牌</vt:lpstr>
      <vt:lpstr>防具</vt:lpstr>
      <vt:lpstr>套装</vt:lpstr>
      <vt:lpstr>戒指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KAZUKI</cp:lastModifiedBy>
  <dcterms:created xsi:type="dcterms:W3CDTF">2023-05-12T11:15:00Z</dcterms:created>
  <dcterms:modified xsi:type="dcterms:W3CDTF">2025-01-02T13:25:24Z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2052-12.1.0.19302</vt:lpwstr>
  </property>
  <property fmtid="{D5CDD505-2E9C-101B-9397-08002B2CF9AE}" pid="3" name="ICV">
    <vt:lpwstr>676C8026A1C444059AC3539F2EDC57EE_12</vt:lpwstr>
  </property>
</Properties>
</file>